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drawings/drawing12.xml" ContentType="application/vnd.openxmlformats-officedocument.drawingml.chartshapes+xml"/>
  <Override PartName="/xl/drawings/drawing14.xml" ContentType="application/vnd.openxmlformats-officedocument.drawingml.chartshapes+xml"/>
  <Override PartName="/xl/drawings/drawing15.xml" ContentType="application/vnd.openxmlformats-officedocument.drawingml.chartshapes+xml"/>
  <Override PartName="/xl/drawings/drawing13.xml" ContentType="application/vnd.openxmlformats-officedocument.drawingml.chartshapes+xml"/>
  <Override PartName="/xl/drawings/drawing16.xml" ContentType="application/vnd.openxmlformats-officedocument.drawingml.chartshapes+xml"/>
  <Override PartName="/xl/workbook.xml" ContentType="application/vnd.openxmlformats-officedocument.spreadsheetml.sheet.main+xml"/>
  <Override PartName="/xl/worksheets/sheet9.xml" ContentType="application/vnd.openxmlformats-officedocument.spreadsheetml.worksheet+xml"/>
  <Override PartName="/xl/drawings/drawing17.xml" ContentType="application/vnd.openxmlformats-officedocument.drawing+xml"/>
  <Override PartName="/xl/charts/chart37.xml" ContentType="application/vnd.openxmlformats-officedocument.drawingml.chart+xml"/>
  <Override PartName="/xl/charts/chart36.xml" ContentType="application/vnd.openxmlformats-officedocument.drawingml.chart+xml"/>
  <Override PartName="/xl/charts/chart35.xml" ContentType="application/vnd.openxmlformats-officedocument.drawingml.chart+xml"/>
  <Override PartName="/xl/charts/chart34.xml" ContentType="application/vnd.openxmlformats-officedocument.drawingml.chart+xml"/>
  <Override PartName="/xl/charts/chart33.xml" ContentType="application/vnd.openxmlformats-officedocument.drawingml.chart+xml"/>
  <Override PartName="/xl/drawings/drawing18.xml" ContentType="application/vnd.openxmlformats-officedocument.drawing+xml"/>
  <Override PartName="/xl/charts/chart38.xml" ContentType="application/vnd.openxmlformats-officedocument.drawingml.chart+xml"/>
  <Override PartName="/xl/worksheets/sheet2.xml" ContentType="application/vnd.openxmlformats-officedocument.spreadsheetml.worksheet+xml"/>
  <Override PartName="/xl/worksheets/sheet3.xml" ContentType="application/vnd.openxmlformats-officedocument.spreadsheetml.worksheet+xml"/>
  <Override PartName="/xl/drawings/drawing20.xml" ContentType="application/vnd.openxmlformats-officedocument.drawing+xml"/>
  <Override PartName="/xl/drawings/drawing19.xml" ContentType="application/vnd.openxmlformats-officedocument.drawing+xml"/>
  <Override PartName="/xl/charts/chart32.xml" ContentType="application/vnd.openxmlformats-officedocument.drawingml.chart+xml"/>
  <Override PartName="/xl/charts/chart31.xml" ContentType="application/vnd.openxmlformats-officedocument.drawingml.chart+xml"/>
  <Override PartName="/xl/charts/chart30.xml" ContentType="application/vnd.openxmlformats-officedocument.drawingml.chart+xml"/>
  <Override PartName="/xl/charts/chart23.xml" ContentType="application/vnd.openxmlformats-officedocument.drawingml.chart+xml"/>
  <Override PartName="/xl/charts/chart22.xml" ContentType="application/vnd.openxmlformats-officedocument.drawingml.chart+xml"/>
  <Override PartName="/xl/charts/chart21.xml" ContentType="application/vnd.openxmlformats-officedocument.drawingml.chart+xml"/>
  <Override PartName="/xl/worksheets/sheet6.xml" ContentType="application/vnd.openxmlformats-officedocument.spreadsheetml.worksheet+xml"/>
  <Override PartName="/xl/charts/chart20.xml" ContentType="application/vnd.openxmlformats-officedocument.drawingml.chart+xml"/>
  <Override PartName="/xl/worksheets/sheet7.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4.xml" ContentType="application/vnd.openxmlformats-officedocument.spreadsheetml.worksheet+xml"/>
  <Override PartName="/xl/charts/chart29.xml" ContentType="application/vnd.openxmlformats-officedocument.drawingml.chart+xml"/>
  <Override PartName="/xl/charts/chart28.xml" ContentType="application/vnd.openxmlformats-officedocument.drawingml.chart+xml"/>
  <Override PartName="/xl/charts/chart27.xml" ContentType="application/vnd.openxmlformats-officedocument.drawingml.chart+xml"/>
  <Override PartName="/xl/charts/chart26.xml" ContentType="application/vnd.openxmlformats-officedocument.drawingml.chart+xml"/>
  <Override PartName="/xl/charts/chart25.xml" ContentType="application/vnd.openxmlformats-officedocument.drawingml.chart+xml"/>
  <Override PartName="/xl/charts/chart19.xml" ContentType="application/vnd.openxmlformats-officedocument.drawingml.chart+xml"/>
  <Override PartName="/xl/charts/chart24.xml" ContentType="application/vnd.openxmlformats-officedocument.drawingml.chart+xml"/>
  <Override PartName="/xl/charts/chart17.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8.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9.xml" ContentType="application/vnd.openxmlformats-officedocument.drawing+xml"/>
  <Override PartName="/xl/charts/chart6.xml" ContentType="application/vnd.openxmlformats-officedocument.drawingml.chart+xml"/>
  <Override PartName="/xl/charts/chart11.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xl/charts/chart8.xml" ContentType="application/vnd.openxmlformats-officedocument.drawingml.chart+xml"/>
  <Override PartName="/xl/charts/chart3.xml" ContentType="application/vnd.openxmlformats-officedocument.drawingml.chart+xml"/>
  <Override PartName="/xl/charts/chart7.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10.xml" ContentType="application/vnd.openxmlformats-officedocument.drawingml.chart+xml"/>
  <Override PartName="/xl/worksheets/sheet8.xml" ContentType="application/vnd.openxmlformats-officedocument.spreadsheetml.worksheet+xml"/>
  <Override PartName="/xl/charts/chart15.xml" ContentType="application/vnd.openxmlformats-officedocument.drawingml.chart+xml"/>
  <Override PartName="/xl/charts/chart14.xml" ContentType="application/vnd.openxmlformats-officedocument.drawingml.chart+xml"/>
  <Override PartName="/xl/charts/chart13.xml" ContentType="application/vnd.openxmlformats-officedocument.drawingml.chart+xml"/>
  <Override PartName="/xl/charts/chart16.xml" ContentType="application/vnd.openxmlformats-officedocument.drawingml.chart+xml"/>
  <Override PartName="/xl/charts/chart12.xml" ContentType="application/vnd.openxmlformats-officedocument.drawingml.chart+xml"/>
  <Override PartName="/xl/drawings/drawing10.xml" ContentType="application/vnd.openxmlformats-officedocument.drawing+xml"/>
  <Override PartName="/xl/comments5.xml" ContentType="application/vnd.openxmlformats-officedocument.spreadsheetml.comments+xml"/>
  <Override PartName="/xl/externalLinks/externalLink11.xml" ContentType="application/vnd.openxmlformats-officedocument.spreadsheetml.externalLink+xml"/>
  <Override PartName="/xl/externalLinks/externalLink9.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10.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6.xml" ContentType="application/vnd.openxmlformats-officedocument.spreadsheetml.comments+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330" windowWidth="17355" windowHeight="3180" tabRatio="898" firstSheet="5" activeTab="10"/>
  </bookViews>
  <sheets>
    <sheet name="Cover" sheetId="35" r:id="rId1"/>
    <sheet name="Index" sheetId="1" r:id="rId2"/>
    <sheet name="1.Disclaimer" sheetId="8" r:id="rId3"/>
    <sheet name="2.Scenarios" sheetId="31" r:id="rId4"/>
    <sheet name="3.Summary" sheetId="29" r:id="rId5"/>
    <sheet name="4.Turnover" sheetId="21" r:id="rId6"/>
    <sheet name="5.ScenarioB" sheetId="32" r:id="rId7"/>
    <sheet name="6.ScenarioC" sheetId="33" r:id="rId8"/>
    <sheet name="7.ScenarioD" sheetId="34" r:id="rId9"/>
    <sheet name="8.ScenarioE" sheetId="30" r:id="rId10"/>
    <sheet name="9. Figures" sheetId="37" r:id="rId11"/>
    <sheet name="Appendix A Definition" sheetId="17" r:id="rId12"/>
    <sheet name="Appendix B State Taxes" sheetId="7" r:id="rId13"/>
    <sheet name="Appendix C Industry details" sheetId="9" r:id="rId14"/>
    <sheet name="Appendix D Background" sheetId="36"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calcPr calcId="145621"/>
</workbook>
</file>

<file path=xl/calcChain.xml><?xml version="1.0" encoding="utf-8"?>
<calcChain xmlns="http://schemas.openxmlformats.org/spreadsheetml/2006/main">
  <c r="C23" i="29" l="1"/>
  <c r="C15" i="29" l="1"/>
  <c r="C22" i="29" l="1"/>
  <c r="C14" i="29" l="1"/>
  <c r="C21" i="29" l="1"/>
  <c r="C13" i="29" l="1"/>
  <c r="N22" i="29" l="1"/>
  <c r="D22" i="29"/>
  <c r="E22" i="29" l="1"/>
  <c r="F22" i="29" l="1"/>
  <c r="G22" i="29" l="1"/>
  <c r="H22" i="29" l="1"/>
  <c r="I22" i="29" l="1"/>
  <c r="J22" i="29" l="1"/>
  <c r="K22" i="29" l="1"/>
  <c r="W37" i="29" l="1"/>
  <c r="O13" i="34" l="1"/>
  <c r="B7" i="37" l="1"/>
  <c r="Q167" i="21" l="1"/>
  <c r="R167" i="21"/>
  <c r="S167" i="21"/>
  <c r="T167" i="21"/>
  <c r="U167" i="21"/>
  <c r="V167" i="21"/>
  <c r="W167" i="21"/>
  <c r="X167" i="21"/>
  <c r="P167" i="21"/>
  <c r="AG20" i="33"/>
  <c r="AH20" i="33"/>
  <c r="AI20" i="33"/>
  <c r="AF20" i="33"/>
  <c r="AG16" i="33"/>
  <c r="AH16" i="33"/>
  <c r="AI16" i="33"/>
  <c r="AJ16" i="33"/>
  <c r="AF16" i="33"/>
  <c r="Q111" i="30"/>
  <c r="R111" i="30"/>
  <c r="S111" i="30"/>
  <c r="T111" i="30"/>
  <c r="U111" i="30"/>
  <c r="V111" i="30"/>
  <c r="W111" i="30"/>
  <c r="X111" i="30"/>
  <c r="Q112" i="30"/>
  <c r="R112" i="30"/>
  <c r="S112" i="30"/>
  <c r="T112" i="30"/>
  <c r="U112" i="30"/>
  <c r="V112" i="30"/>
  <c r="W112" i="30"/>
  <c r="X112" i="30"/>
  <c r="Q113" i="30"/>
  <c r="R113" i="30"/>
  <c r="S113" i="30"/>
  <c r="T113" i="30"/>
  <c r="U113" i="30"/>
  <c r="V113" i="30"/>
  <c r="W113" i="30"/>
  <c r="X113" i="30"/>
  <c r="P112" i="30"/>
  <c r="P113" i="30"/>
  <c r="P111" i="30"/>
  <c r="Q117" i="30"/>
  <c r="R117" i="30"/>
  <c r="S117" i="30"/>
  <c r="T117" i="30"/>
  <c r="U117" i="30"/>
  <c r="V117" i="30"/>
  <c r="W117" i="30"/>
  <c r="X117" i="30"/>
  <c r="Q118" i="30"/>
  <c r="R118" i="30"/>
  <c r="S118" i="30"/>
  <c r="T118" i="30"/>
  <c r="U118" i="30"/>
  <c r="V118" i="30"/>
  <c r="W118" i="30"/>
  <c r="X118" i="30"/>
  <c r="Q119" i="30"/>
  <c r="R119" i="30"/>
  <c r="S119" i="30"/>
  <c r="T119" i="30"/>
  <c r="U119" i="30"/>
  <c r="V119" i="30"/>
  <c r="W119" i="30"/>
  <c r="X119" i="30"/>
  <c r="P118" i="30"/>
  <c r="P119" i="30"/>
  <c r="P117" i="30"/>
  <c r="P106" i="30" s="1"/>
  <c r="P90" i="30"/>
  <c r="Q90" i="30"/>
  <c r="R90" i="30"/>
  <c r="S90" i="30"/>
  <c r="T90" i="30"/>
  <c r="U90" i="30"/>
  <c r="V90" i="30"/>
  <c r="W90" i="30"/>
  <c r="X90" i="30"/>
  <c r="P91" i="30"/>
  <c r="Q91" i="30"/>
  <c r="R91" i="30"/>
  <c r="S91" i="30"/>
  <c r="T91" i="30"/>
  <c r="U91" i="30"/>
  <c r="V91" i="30"/>
  <c r="W91" i="30"/>
  <c r="X91" i="30"/>
  <c r="P92" i="30"/>
  <c r="Q92" i="30"/>
  <c r="R92" i="30"/>
  <c r="S92" i="30"/>
  <c r="T92" i="30"/>
  <c r="U92" i="30"/>
  <c r="V92" i="30"/>
  <c r="W92" i="30"/>
  <c r="X92" i="30"/>
  <c r="O91" i="30"/>
  <c r="O92" i="30"/>
  <c r="O90" i="30"/>
  <c r="O86" i="30"/>
  <c r="O85" i="30"/>
  <c r="O84" i="30"/>
  <c r="P84" i="30"/>
  <c r="Q84" i="30"/>
  <c r="R84" i="30"/>
  <c r="S84" i="30"/>
  <c r="T84" i="30"/>
  <c r="U84" i="30"/>
  <c r="V84" i="30"/>
  <c r="W84" i="30"/>
  <c r="X84" i="30"/>
  <c r="P85" i="30"/>
  <c r="Q85" i="30"/>
  <c r="R85" i="30"/>
  <c r="S85" i="30"/>
  <c r="T85" i="30"/>
  <c r="U85" i="30"/>
  <c r="V85" i="30"/>
  <c r="W85" i="30"/>
  <c r="X85" i="30"/>
  <c r="P86" i="30"/>
  <c r="Q86" i="30"/>
  <c r="R86" i="30"/>
  <c r="S86" i="30"/>
  <c r="T86" i="30"/>
  <c r="U86" i="30"/>
  <c r="V86" i="30"/>
  <c r="W86" i="30"/>
  <c r="X86" i="30"/>
  <c r="P79" i="30"/>
  <c r="P72" i="30"/>
  <c r="AG18" i="32"/>
  <c r="AH18" i="32"/>
  <c r="AI18" i="32"/>
  <c r="AF18" i="32"/>
  <c r="AJ14" i="32"/>
  <c r="AG14" i="32"/>
  <c r="AH14" i="32"/>
  <c r="AI14" i="32"/>
  <c r="AF14" i="32"/>
  <c r="D23" i="29" l="1"/>
  <c r="N23" i="29" l="1"/>
  <c r="P99" i="30"/>
  <c r="O23" i="29"/>
  <c r="D15" i="29"/>
  <c r="O15" i="29" l="1"/>
  <c r="N15" i="29"/>
  <c r="E23" i="29" l="1"/>
  <c r="E15" i="29"/>
  <c r="P15" i="29" l="1"/>
  <c r="P23" i="29"/>
  <c r="F15" i="29"/>
  <c r="F23" i="29"/>
  <c r="Q15" i="29" l="1"/>
  <c r="Q23" i="29"/>
  <c r="H23" i="29"/>
  <c r="G15" i="29"/>
  <c r="G23" i="29"/>
  <c r="R15" i="29" l="1"/>
  <c r="R23" i="29"/>
  <c r="H15" i="29"/>
  <c r="S23" i="29"/>
  <c r="S15" i="29" l="1"/>
  <c r="I15" i="29"/>
  <c r="I23" i="29"/>
  <c r="T15" i="29" l="1"/>
  <c r="T23" i="29"/>
  <c r="J15" i="29"/>
  <c r="J23" i="29"/>
  <c r="U15" i="29" l="1"/>
  <c r="U23" i="29"/>
  <c r="K15" i="29"/>
  <c r="K23" i="29"/>
  <c r="V15" i="29" l="1"/>
  <c r="W15" i="29" s="1"/>
  <c r="V23" i="29"/>
  <c r="W23" i="29" s="1"/>
  <c r="O96" i="30" l="1"/>
  <c r="P123" i="30"/>
  <c r="Q123" i="30" l="1"/>
  <c r="P96" i="30" l="1"/>
  <c r="Q96" i="30"/>
  <c r="R123" i="30"/>
  <c r="R96" i="30" l="1"/>
  <c r="S123" i="30"/>
  <c r="S96" i="30" l="1"/>
  <c r="T123" i="30"/>
  <c r="U123" i="30" l="1"/>
  <c r="T96" i="30" l="1"/>
  <c r="V123" i="30"/>
  <c r="V96" i="30" l="1"/>
  <c r="U96" i="30"/>
  <c r="W123" i="30"/>
  <c r="W96" i="30" l="1"/>
  <c r="X123" i="30"/>
  <c r="X96" i="30" l="1"/>
  <c r="O94" i="30" l="1"/>
  <c r="P121" i="30"/>
  <c r="P94" i="30" l="1"/>
  <c r="P148" i="30" s="1"/>
  <c r="Q94" i="30" l="1"/>
  <c r="Q121" i="30"/>
  <c r="R94" i="30" l="1"/>
  <c r="R121" i="30"/>
  <c r="S94" i="30" l="1"/>
  <c r="S121" i="30"/>
  <c r="T94" i="30" l="1"/>
  <c r="T121" i="30"/>
  <c r="U94" i="30" l="1"/>
  <c r="U121" i="30"/>
  <c r="V94" i="30" l="1"/>
  <c r="V121" i="30"/>
  <c r="W94" i="30" l="1"/>
  <c r="W121" i="30"/>
  <c r="X94" i="30" l="1"/>
  <c r="X121" i="30"/>
  <c r="O88" i="30" l="1"/>
  <c r="P88" i="30" l="1"/>
  <c r="P115" i="30" l="1"/>
  <c r="P142" i="30" s="1"/>
  <c r="Q88" i="30"/>
  <c r="R88" i="30" l="1"/>
  <c r="Q115" i="30" l="1"/>
  <c r="S88" i="30"/>
  <c r="R115" i="30" l="1"/>
  <c r="T88" i="30"/>
  <c r="S115" i="30" l="1"/>
  <c r="U88" i="30"/>
  <c r="T115" i="30" l="1"/>
  <c r="V88" i="30"/>
  <c r="U115" i="30" l="1"/>
  <c r="W88" i="30"/>
  <c r="V115" i="30" l="1"/>
  <c r="X88" i="30"/>
  <c r="W115" i="30" l="1"/>
  <c r="X115" i="30" l="1"/>
  <c r="P32" i="34" l="1"/>
  <c r="P59" i="34" l="1"/>
  <c r="Q59" i="34" l="1"/>
  <c r="D14" i="29" l="1"/>
  <c r="R59" i="34"/>
  <c r="N14" i="29" l="1"/>
  <c r="O22" i="29"/>
  <c r="O14" i="29"/>
  <c r="E14" i="29"/>
  <c r="S59" i="34"/>
  <c r="P14" i="29" l="1"/>
  <c r="P22" i="29"/>
  <c r="F14" i="29"/>
  <c r="T59" i="34"/>
  <c r="Q14" i="29" l="1"/>
  <c r="Q22" i="29"/>
  <c r="G14" i="29"/>
  <c r="U59" i="34"/>
  <c r="R14" i="29" l="1"/>
  <c r="R22" i="29"/>
  <c r="V59" i="34"/>
  <c r="H14" i="29" l="1"/>
  <c r="I14" i="29"/>
  <c r="W59" i="34"/>
  <c r="S14" i="29" l="1"/>
  <c r="S22" i="29"/>
  <c r="T22" i="29"/>
  <c r="T14" i="29"/>
  <c r="J14" i="29"/>
  <c r="X59" i="34"/>
  <c r="U14" i="29" l="1"/>
  <c r="U22" i="29"/>
  <c r="K14" i="29"/>
  <c r="V14" i="29" l="1"/>
  <c r="W14" i="29" s="1"/>
  <c r="V22" i="29"/>
  <c r="W22" i="29" s="1"/>
  <c r="P83" i="34" l="1"/>
  <c r="O56" i="34"/>
  <c r="Q83" i="34" l="1"/>
  <c r="P56" i="34" l="1"/>
  <c r="R83" i="34"/>
  <c r="Q56" i="34" l="1"/>
  <c r="S83" i="34"/>
  <c r="R56" i="34" l="1"/>
  <c r="T83" i="34"/>
  <c r="S56" i="34" l="1"/>
  <c r="U83" i="34"/>
  <c r="T56" i="34" l="1"/>
  <c r="V83" i="34"/>
  <c r="U56" i="34" l="1"/>
  <c r="W83" i="34"/>
  <c r="V56" i="34" l="1"/>
  <c r="X83" i="34"/>
  <c r="W56" i="34" l="1"/>
  <c r="X56" i="34"/>
  <c r="O52" i="34" l="1"/>
  <c r="P79" i="34" l="1"/>
  <c r="P52" i="34"/>
  <c r="Q52" i="34" l="1"/>
  <c r="Q79" i="34" l="1"/>
  <c r="R52" i="34"/>
  <c r="R79" i="34" l="1"/>
  <c r="S52" i="34"/>
  <c r="T52" i="34" l="1"/>
  <c r="S79" i="34"/>
  <c r="T79" i="34" l="1"/>
  <c r="U52" i="34"/>
  <c r="V52" i="34" l="1"/>
  <c r="U79" i="34"/>
  <c r="V79" i="34" l="1"/>
  <c r="W52" i="34"/>
  <c r="W79" i="34" l="1"/>
  <c r="X52" i="34"/>
  <c r="X79" i="34" l="1"/>
  <c r="O50" i="34" l="1"/>
  <c r="P50" i="34" l="1"/>
  <c r="P77" i="34" l="1"/>
  <c r="Q50" i="34"/>
  <c r="R50" i="34" l="1"/>
  <c r="Q77" i="34"/>
  <c r="R77" i="34" l="1"/>
  <c r="S50" i="34"/>
  <c r="T50" i="34" l="1"/>
  <c r="S77" i="34"/>
  <c r="T77" i="34" l="1"/>
  <c r="U50" i="34"/>
  <c r="U77" i="34" l="1"/>
  <c r="V50" i="34"/>
  <c r="W50" i="34" l="1"/>
  <c r="V77" i="34"/>
  <c r="W77" i="34" l="1"/>
  <c r="X50" i="34"/>
  <c r="X77" i="34" l="1"/>
  <c r="O51" i="34" l="1"/>
  <c r="O53" i="34" s="1"/>
  <c r="O45" i="34"/>
  <c r="P45" i="34" l="1"/>
  <c r="O46" i="34" l="1"/>
  <c r="P72" i="34"/>
  <c r="Q45" i="34"/>
  <c r="P51" i="34"/>
  <c r="Q72" i="34"/>
  <c r="P54" i="34" l="1"/>
  <c r="P73" i="34"/>
  <c r="P46" i="34"/>
  <c r="O54" i="34"/>
  <c r="O55" i="34" s="1"/>
  <c r="P78" i="34"/>
  <c r="Q51" i="34"/>
  <c r="R72" i="34"/>
  <c r="Q78" i="34"/>
  <c r="R45" i="34"/>
  <c r="P81" i="34" l="1"/>
  <c r="Q46" i="34"/>
  <c r="R78" i="34"/>
  <c r="Q73" i="34"/>
  <c r="S45" i="34"/>
  <c r="R51" i="34"/>
  <c r="S72" i="34"/>
  <c r="R46" i="34" l="1"/>
  <c r="S51" i="34"/>
  <c r="R73" i="34"/>
  <c r="T72" i="34"/>
  <c r="S78" i="34"/>
  <c r="T45" i="34"/>
  <c r="S46" i="34" l="1"/>
  <c r="Q81" i="34"/>
  <c r="Q54" i="34"/>
  <c r="T51" i="34"/>
  <c r="S73" i="34"/>
  <c r="T78" i="34"/>
  <c r="U45" i="34"/>
  <c r="U72" i="34"/>
  <c r="T46" i="34" l="1"/>
  <c r="R81" i="34"/>
  <c r="R54" i="34"/>
  <c r="V45" i="34"/>
  <c r="U51" i="34"/>
  <c r="V72" i="34"/>
  <c r="U78" i="34"/>
  <c r="T73" i="34"/>
  <c r="U46" i="34" l="1"/>
  <c r="S81" i="34"/>
  <c r="S54" i="34"/>
  <c r="V51" i="34"/>
  <c r="U73" i="34"/>
  <c r="W72" i="34"/>
  <c r="V78" i="34"/>
  <c r="W45" i="34"/>
  <c r="X45" i="34"/>
  <c r="V46" i="34" l="1"/>
  <c r="T81" i="34"/>
  <c r="T54" i="34"/>
  <c r="V73" i="34"/>
  <c r="X46" i="34"/>
  <c r="W51" i="34"/>
  <c r="X78" i="34"/>
  <c r="W78" i="34"/>
  <c r="X72" i="34"/>
  <c r="W46" i="34" l="1"/>
  <c r="P75" i="34"/>
  <c r="U81" i="34"/>
  <c r="U54" i="34"/>
  <c r="O48" i="34"/>
  <c r="X51" i="34"/>
  <c r="W73" i="34"/>
  <c r="X73" i="34"/>
  <c r="V81" i="34" l="1"/>
  <c r="V54" i="34"/>
  <c r="W81" i="34" l="1"/>
  <c r="W54" i="34"/>
  <c r="X54" i="34" l="1"/>
  <c r="X81" i="34" l="1"/>
  <c r="O44" i="34"/>
  <c r="P44" i="34" l="1"/>
  <c r="P71" i="34"/>
  <c r="Q44" i="34" l="1"/>
  <c r="P48" i="34" l="1"/>
  <c r="Q75" i="34"/>
  <c r="Q48" i="34"/>
  <c r="R44" i="34"/>
  <c r="Q71" i="34"/>
  <c r="R75" i="34" l="1"/>
  <c r="S44" i="34"/>
  <c r="R71" i="34"/>
  <c r="R48" i="34"/>
  <c r="S71" i="34" l="1"/>
  <c r="T44" i="34"/>
  <c r="S75" i="34"/>
  <c r="S48" i="34"/>
  <c r="U44" i="34" l="1"/>
  <c r="T71" i="34"/>
  <c r="T75" i="34"/>
  <c r="T48" i="34"/>
  <c r="U75" i="34" l="1"/>
  <c r="U48" i="34"/>
  <c r="U71" i="34"/>
  <c r="V44" i="34"/>
  <c r="X44" i="34" l="1"/>
  <c r="W44" i="34"/>
  <c r="V71" i="34"/>
  <c r="V75" i="34"/>
  <c r="V48" i="34"/>
  <c r="W75" i="34" l="1"/>
  <c r="W71" i="34"/>
  <c r="X71" i="34"/>
  <c r="W48" i="34"/>
  <c r="X48" i="34" l="1"/>
  <c r="X75" i="34"/>
  <c r="U57" i="33" l="1"/>
  <c r="V57" i="33"/>
  <c r="W57" i="33"/>
  <c r="X57" i="33"/>
  <c r="O28" i="33"/>
  <c r="N21" i="29" l="1"/>
  <c r="E21" i="29"/>
  <c r="N13" i="29"/>
  <c r="D13" i="29"/>
  <c r="D21" i="29"/>
  <c r="E13" i="29"/>
  <c r="F21" i="29" l="1"/>
  <c r="Q21" i="29" s="1"/>
  <c r="O13" i="29"/>
  <c r="O21" i="29"/>
  <c r="P21" i="29"/>
  <c r="P13" i="29"/>
  <c r="F13" i="29"/>
  <c r="Q13" i="29" l="1"/>
  <c r="G13" i="29"/>
  <c r="G21" i="29"/>
  <c r="R13" i="29" l="1"/>
  <c r="R21" i="29"/>
  <c r="H13" i="29" l="1"/>
  <c r="H21" i="29"/>
  <c r="S13" i="29" l="1"/>
  <c r="S21" i="29"/>
  <c r="I13" i="29"/>
  <c r="I21" i="29"/>
  <c r="T13" i="29" l="1"/>
  <c r="T21" i="29"/>
  <c r="J13" i="29"/>
  <c r="J21" i="29"/>
  <c r="K13" i="29"/>
  <c r="K21" i="29"/>
  <c r="U13" i="29" l="1"/>
  <c r="U21" i="29"/>
  <c r="V21" i="29"/>
  <c r="V13" i="29"/>
  <c r="W13" i="29" l="1"/>
  <c r="W21" i="29"/>
  <c r="P79" i="33" l="1"/>
  <c r="O52" i="33"/>
  <c r="P52" i="33" l="1"/>
  <c r="Q79" i="33"/>
  <c r="Q52" i="33" l="1"/>
  <c r="R79" i="33"/>
  <c r="S79" i="33" l="1"/>
  <c r="R52" i="33"/>
  <c r="T79" i="33" l="1"/>
  <c r="S52" i="33"/>
  <c r="U79" i="33" l="1"/>
  <c r="T52" i="33"/>
  <c r="U52" i="33" l="1"/>
  <c r="W79" i="33" l="1"/>
  <c r="V79" i="33"/>
  <c r="V52" i="33"/>
  <c r="X79" i="33" l="1"/>
  <c r="W52" i="33"/>
  <c r="X52" i="33" l="1"/>
  <c r="O48" i="33" l="1"/>
  <c r="P48" i="33" l="1"/>
  <c r="Q48" i="33" l="1"/>
  <c r="R48" i="33" l="1"/>
  <c r="S48" i="33" l="1"/>
  <c r="T48" i="33" l="1"/>
  <c r="U48" i="33" l="1"/>
  <c r="V48" i="33" l="1"/>
  <c r="W48" i="33" l="1"/>
  <c r="X48" i="33" l="1"/>
  <c r="O46" i="33" l="1"/>
  <c r="P46" i="33" l="1"/>
  <c r="Q46" i="33" l="1"/>
  <c r="R46" i="33" l="1"/>
  <c r="S46" i="33" l="1"/>
  <c r="T46" i="33" l="1"/>
  <c r="U46" i="33" l="1"/>
  <c r="V46" i="33" l="1"/>
  <c r="W46" i="33" l="1"/>
  <c r="X46" i="33" l="1"/>
  <c r="O41" i="33" l="1"/>
  <c r="O42" i="33" l="1"/>
  <c r="P41" i="33"/>
  <c r="O47" i="33"/>
  <c r="P69" i="33" l="1"/>
  <c r="Q41" i="33"/>
  <c r="P47" i="33"/>
  <c r="P42" i="33"/>
  <c r="P77" i="33" l="1"/>
  <c r="O50" i="33"/>
  <c r="Q69" i="33"/>
  <c r="P68" i="33"/>
  <c r="Q47" i="33"/>
  <c r="Q42" i="33"/>
  <c r="R41" i="33"/>
  <c r="P75" i="33" l="1"/>
  <c r="P73" i="33"/>
  <c r="P62" i="33" s="1"/>
  <c r="P74" i="33"/>
  <c r="P50" i="33"/>
  <c r="Q75" i="33"/>
  <c r="R74" i="33"/>
  <c r="Q73" i="33"/>
  <c r="Q74" i="33"/>
  <c r="R69" i="33"/>
  <c r="S41" i="33"/>
  <c r="R47" i="33"/>
  <c r="Q77" i="33"/>
  <c r="R42" i="33"/>
  <c r="Q68" i="33" l="1"/>
  <c r="Q50" i="33"/>
  <c r="S74" i="33"/>
  <c r="R75" i="33"/>
  <c r="S47" i="33"/>
  <c r="R77" i="33"/>
  <c r="S69" i="33"/>
  <c r="S42" i="33"/>
  <c r="T41" i="33"/>
  <c r="R68" i="33" l="1"/>
  <c r="R50" i="33"/>
  <c r="R73" i="33"/>
  <c r="S75" i="33"/>
  <c r="S73" i="33"/>
  <c r="S77" i="33"/>
  <c r="T47" i="33"/>
  <c r="T42" i="33"/>
  <c r="T69" i="33"/>
  <c r="T74" i="33"/>
  <c r="U41" i="33"/>
  <c r="S50" i="33" l="1"/>
  <c r="T68" i="33"/>
  <c r="T73" i="33"/>
  <c r="T75" i="33"/>
  <c r="V41" i="33"/>
  <c r="T77" i="33"/>
  <c r="U42" i="33"/>
  <c r="U47" i="33"/>
  <c r="U74" i="33"/>
  <c r="U69" i="33"/>
  <c r="U68" i="33" l="1"/>
  <c r="S68" i="33"/>
  <c r="P71" i="33"/>
  <c r="T50" i="33"/>
  <c r="V68" i="33"/>
  <c r="U73" i="33"/>
  <c r="U75" i="33"/>
  <c r="V47" i="33"/>
  <c r="V42" i="33"/>
  <c r="V69" i="33"/>
  <c r="V74" i="33"/>
  <c r="U77" i="33"/>
  <c r="W41" i="33"/>
  <c r="X41" i="33"/>
  <c r="W68" i="33" l="1"/>
  <c r="U50" i="33"/>
  <c r="V75" i="33"/>
  <c r="V73" i="33"/>
  <c r="W69" i="33"/>
  <c r="V77" i="33"/>
  <c r="X42" i="33"/>
  <c r="W42" i="33"/>
  <c r="W47" i="33"/>
  <c r="X74" i="33"/>
  <c r="W74" i="33"/>
  <c r="X68" i="33"/>
  <c r="V50" i="33" l="1"/>
  <c r="W75" i="33"/>
  <c r="X75" i="33"/>
  <c r="W73" i="33"/>
  <c r="X73" i="33"/>
  <c r="X47" i="33"/>
  <c r="W77" i="33"/>
  <c r="X69" i="33"/>
  <c r="W50" i="33" l="1"/>
  <c r="X77" i="33"/>
  <c r="X50" i="33" l="1"/>
  <c r="O40" i="33" l="1"/>
  <c r="O43" i="33" s="1"/>
  <c r="O44" i="33" l="1"/>
  <c r="P40" i="33"/>
  <c r="P67" i="33"/>
  <c r="Q67" i="33" l="1"/>
  <c r="Q40" i="33"/>
  <c r="P44" i="33" l="1"/>
  <c r="Q44" i="33"/>
  <c r="Q71" i="33"/>
  <c r="R40" i="33"/>
  <c r="R67" i="33"/>
  <c r="R44" i="33" l="1"/>
  <c r="R71" i="33"/>
  <c r="S40" i="33"/>
  <c r="S67" i="33"/>
  <c r="S44" i="33" l="1"/>
  <c r="T67" i="33"/>
  <c r="T40" i="33"/>
  <c r="S71" i="33"/>
  <c r="T44" i="33" l="1"/>
  <c r="U40" i="33"/>
  <c r="U67" i="33"/>
  <c r="T71" i="33"/>
  <c r="U44" i="33" l="1"/>
  <c r="U71" i="33"/>
  <c r="V67" i="33"/>
  <c r="V40" i="33"/>
  <c r="V44" i="33" l="1"/>
  <c r="X40" i="33"/>
  <c r="W40" i="33"/>
  <c r="W67" i="33"/>
  <c r="V71" i="33"/>
  <c r="X44" i="33" l="1"/>
  <c r="W44" i="33"/>
  <c r="W71" i="33"/>
  <c r="X67" i="33"/>
  <c r="X71" i="33" l="1"/>
  <c r="O21" i="32" l="1"/>
  <c r="Q16" i="21" l="1"/>
  <c r="R16" i="21"/>
  <c r="S16" i="21"/>
  <c r="T16" i="21"/>
  <c r="U16" i="21"/>
  <c r="V16" i="21"/>
  <c r="W16" i="21"/>
  <c r="X16" i="21"/>
  <c r="P16" i="21"/>
  <c r="B7" i="36"/>
  <c r="P126" i="30"/>
  <c r="X66" i="34" l="1"/>
  <c r="Q66" i="34"/>
  <c r="R66" i="34"/>
  <c r="S66" i="34"/>
  <c r="T66" i="34"/>
  <c r="U66" i="34"/>
  <c r="V66" i="34"/>
  <c r="W66" i="34"/>
  <c r="Q67" i="34"/>
  <c r="R67" i="34"/>
  <c r="S67" i="34"/>
  <c r="T67" i="34"/>
  <c r="U67" i="34"/>
  <c r="V67" i="34"/>
  <c r="W67" i="34"/>
  <c r="X67" i="34"/>
  <c r="Q68" i="34"/>
  <c r="R68" i="34"/>
  <c r="S68" i="34"/>
  <c r="T68" i="34"/>
  <c r="U68" i="34"/>
  <c r="V68" i="34"/>
  <c r="W68" i="34"/>
  <c r="X68" i="34"/>
  <c r="P67" i="34"/>
  <c r="P68" i="34"/>
  <c r="P66" i="34"/>
  <c r="P64" i="33" l="1"/>
  <c r="P28" i="33" l="1"/>
  <c r="P55" i="33" s="1"/>
  <c r="P128" i="33" l="1"/>
  <c r="P54" i="33" l="1"/>
  <c r="Q54" i="33"/>
  <c r="R54" i="33"/>
  <c r="S54" i="33"/>
  <c r="T54" i="33"/>
  <c r="U54" i="33"/>
  <c r="V54" i="33"/>
  <c r="W54" i="33"/>
  <c r="X54" i="33"/>
  <c r="O54" i="33"/>
  <c r="O20" i="32"/>
  <c r="O47" i="32" s="1"/>
  <c r="Q28" i="33"/>
  <c r="Q55" i="33" s="1"/>
  <c r="R28" i="33"/>
  <c r="R55" i="33" s="1"/>
  <c r="S28" i="33"/>
  <c r="S55" i="33" s="1"/>
  <c r="T28" i="33"/>
  <c r="T55" i="33" s="1"/>
  <c r="U28" i="33"/>
  <c r="U55" i="33" s="1"/>
  <c r="V28" i="33"/>
  <c r="V55" i="33" s="1"/>
  <c r="W28" i="33"/>
  <c r="W55" i="33" s="1"/>
  <c r="X28" i="33"/>
  <c r="X55" i="33" s="1"/>
  <c r="Q20" i="32"/>
  <c r="Q47" i="32" s="1"/>
  <c r="R20" i="32"/>
  <c r="R47" i="32" s="1"/>
  <c r="S20" i="32"/>
  <c r="S47" i="32" s="1"/>
  <c r="T20" i="32"/>
  <c r="T47" i="32" s="1"/>
  <c r="U20" i="32"/>
  <c r="U47" i="32" s="1"/>
  <c r="V20" i="32"/>
  <c r="V47" i="32" s="1"/>
  <c r="W20" i="32"/>
  <c r="W47" i="32" s="1"/>
  <c r="X20" i="32"/>
  <c r="X47" i="32" s="1"/>
  <c r="P20" i="32"/>
  <c r="P47" i="32" s="1"/>
  <c r="O72" i="30"/>
  <c r="O32" i="34"/>
  <c r="N20" i="34"/>
  <c r="N19" i="34"/>
  <c r="O18" i="34"/>
  <c r="P144" i="30" l="1"/>
  <c r="P171" i="30"/>
  <c r="O93" i="30" l="1"/>
  <c r="P93" i="30"/>
  <c r="Q93" i="30" l="1"/>
  <c r="R93" i="30" l="1"/>
  <c r="S93" i="30" l="1"/>
  <c r="T93" i="30" l="1"/>
  <c r="U93" i="30" l="1"/>
  <c r="V93" i="30" l="1"/>
  <c r="W93" i="30" l="1"/>
  <c r="X93" i="30" l="1"/>
  <c r="P108" i="34" l="1"/>
  <c r="P74" i="34" l="1"/>
  <c r="P129" i="34" l="1"/>
  <c r="P113" i="34" l="1"/>
  <c r="P102" i="34" l="1"/>
  <c r="Q129" i="34" l="1"/>
  <c r="R129" i="34" l="1"/>
  <c r="S129" i="34" l="1"/>
  <c r="T129" i="34" l="1"/>
  <c r="U129" i="34" l="1"/>
  <c r="V129" i="34" l="1"/>
  <c r="W129" i="34" l="1"/>
  <c r="X129" i="34" l="1"/>
  <c r="P21" i="32" l="1"/>
  <c r="M61" i="7" l="1"/>
  <c r="P27" i="34" l="1"/>
  <c r="P28" i="34"/>
  <c r="Q72" i="30" l="1"/>
  <c r="Q99" i="30" s="1"/>
  <c r="Q126" i="30" s="1"/>
  <c r="R72" i="30"/>
  <c r="R99" i="30" s="1"/>
  <c r="R126" i="30" s="1"/>
  <c r="S72" i="30"/>
  <c r="S99" i="30" s="1"/>
  <c r="S126" i="30" s="1"/>
  <c r="T72" i="30"/>
  <c r="T99" i="30" s="1"/>
  <c r="T126" i="30" s="1"/>
  <c r="U72" i="30"/>
  <c r="U99" i="30" s="1"/>
  <c r="U126" i="30" s="1"/>
  <c r="V72" i="30"/>
  <c r="V99" i="30" s="1"/>
  <c r="V126" i="30" s="1"/>
  <c r="W72" i="30"/>
  <c r="W99" i="30" s="1"/>
  <c r="W126" i="30" s="1"/>
  <c r="X72" i="30"/>
  <c r="X99" i="30" s="1"/>
  <c r="X126" i="30" s="1"/>
  <c r="Q32" i="34"/>
  <c r="R32" i="34"/>
  <c r="S32" i="34"/>
  <c r="T32" i="34"/>
  <c r="U32" i="34"/>
  <c r="V32" i="34"/>
  <c r="W32" i="34"/>
  <c r="X32" i="34"/>
  <c r="P86" i="34"/>
  <c r="Q21" i="32"/>
  <c r="R21" i="32"/>
  <c r="S21" i="32"/>
  <c r="T21" i="32"/>
  <c r="U21" i="32"/>
  <c r="V21" i="32"/>
  <c r="W21" i="32"/>
  <c r="X21" i="32"/>
  <c r="V61" i="7"/>
  <c r="O61" i="7"/>
  <c r="P61" i="7"/>
  <c r="Q61" i="7"/>
  <c r="R61" i="7"/>
  <c r="S61" i="7"/>
  <c r="T61" i="7"/>
  <c r="U61" i="7"/>
  <c r="N61" i="7"/>
  <c r="T86" i="34" l="1"/>
  <c r="T113" i="34"/>
  <c r="W86" i="34"/>
  <c r="W113" i="34"/>
  <c r="S86" i="34"/>
  <c r="S113" i="34"/>
  <c r="V86" i="34"/>
  <c r="V113" i="34"/>
  <c r="R86" i="34"/>
  <c r="R113" i="34"/>
  <c r="X86" i="34"/>
  <c r="X113" i="34"/>
  <c r="U86" i="34"/>
  <c r="U113" i="34"/>
  <c r="Q86" i="34"/>
  <c r="Q113" i="34"/>
  <c r="O19" i="34" l="1"/>
  <c r="I54" i="34"/>
  <c r="J54" i="34"/>
  <c r="K54" i="34"/>
  <c r="L54" i="34"/>
  <c r="M54" i="34"/>
  <c r="N54" i="34"/>
  <c r="H54" i="34"/>
  <c r="G54" i="34"/>
  <c r="H56" i="34"/>
  <c r="I56" i="34"/>
  <c r="J56" i="34"/>
  <c r="K56" i="34"/>
  <c r="L56" i="34"/>
  <c r="M56" i="34"/>
  <c r="N56" i="34"/>
  <c r="G56" i="34"/>
  <c r="H50" i="34"/>
  <c r="I50" i="34"/>
  <c r="J50" i="34"/>
  <c r="K50" i="34"/>
  <c r="L50" i="34"/>
  <c r="M50" i="34"/>
  <c r="N50" i="34"/>
  <c r="P104" i="34"/>
  <c r="Q104" i="34"/>
  <c r="H51" i="34"/>
  <c r="I51" i="34"/>
  <c r="J51" i="34"/>
  <c r="K51" i="34"/>
  <c r="L51" i="34"/>
  <c r="M51" i="34"/>
  <c r="N51" i="34"/>
  <c r="H52" i="34"/>
  <c r="I52" i="34"/>
  <c r="J52" i="34"/>
  <c r="K52" i="34"/>
  <c r="L52" i="34"/>
  <c r="M52" i="34"/>
  <c r="N52" i="34"/>
  <c r="G51" i="34"/>
  <c r="G52" i="34"/>
  <c r="G50" i="34"/>
  <c r="G48" i="34"/>
  <c r="H44" i="34"/>
  <c r="I44" i="34"/>
  <c r="J44" i="34"/>
  <c r="K44" i="34"/>
  <c r="L44" i="34"/>
  <c r="M44" i="34"/>
  <c r="N44" i="34"/>
  <c r="H45" i="34"/>
  <c r="I45" i="34"/>
  <c r="J45" i="34"/>
  <c r="K45" i="34"/>
  <c r="L45" i="34"/>
  <c r="M45" i="34"/>
  <c r="N45" i="34"/>
  <c r="H46" i="34"/>
  <c r="I46" i="34"/>
  <c r="J46" i="34"/>
  <c r="K46" i="34"/>
  <c r="L46" i="34"/>
  <c r="M46" i="34"/>
  <c r="N46" i="34"/>
  <c r="G45" i="34"/>
  <c r="G46" i="34"/>
  <c r="G44" i="34"/>
  <c r="O12" i="34"/>
  <c r="P12" i="34" s="1"/>
  <c r="Q12" i="34" s="1"/>
  <c r="R12" i="34" s="1"/>
  <c r="S12" i="34" s="1"/>
  <c r="T12" i="34" s="1"/>
  <c r="U12" i="34" s="1"/>
  <c r="V12" i="34" s="1"/>
  <c r="W12" i="34" s="1"/>
  <c r="X12" i="34" s="1"/>
  <c r="N13" i="34"/>
  <c r="N12" i="34"/>
  <c r="X105" i="34" l="1"/>
  <c r="P132" i="34"/>
  <c r="P80" i="34"/>
  <c r="P82" i="34" s="1"/>
  <c r="P126" i="34"/>
  <c r="P99" i="34"/>
  <c r="X106" i="34"/>
  <c r="P133" i="34"/>
  <c r="P98" i="34"/>
  <c r="P125" i="34"/>
  <c r="P100" i="34"/>
  <c r="V132" i="34"/>
  <c r="R132" i="34"/>
  <c r="W131" i="34"/>
  <c r="S104" i="34"/>
  <c r="P106" i="34"/>
  <c r="T105" i="34"/>
  <c r="X132" i="34"/>
  <c r="T132" i="34"/>
  <c r="R105" i="34"/>
  <c r="Q105" i="34"/>
  <c r="Q132" i="34"/>
  <c r="V131" i="34"/>
  <c r="V104" i="34"/>
  <c r="R131" i="34"/>
  <c r="R104" i="34"/>
  <c r="P105" i="34"/>
  <c r="V53" i="34"/>
  <c r="V55" i="34" s="1"/>
  <c r="R53" i="34"/>
  <c r="R55" i="34" s="1"/>
  <c r="N53" i="34"/>
  <c r="N55" i="34" s="1"/>
  <c r="J53" i="34"/>
  <c r="J55" i="34" s="1"/>
  <c r="X53" i="34"/>
  <c r="X55" i="34" s="1"/>
  <c r="T53" i="34"/>
  <c r="T55" i="34" s="1"/>
  <c r="P53" i="34"/>
  <c r="P55" i="34" s="1"/>
  <c r="L53" i="34"/>
  <c r="L55" i="34" s="1"/>
  <c r="H53" i="34"/>
  <c r="H55" i="34" s="1"/>
  <c r="N47" i="34"/>
  <c r="J47" i="34"/>
  <c r="P47" i="34"/>
  <c r="P87" i="30" s="1"/>
  <c r="L47" i="34"/>
  <c r="G47" i="34"/>
  <c r="M47" i="34"/>
  <c r="I47" i="34"/>
  <c r="O47" i="34"/>
  <c r="O87" i="30" s="1"/>
  <c r="K47" i="34"/>
  <c r="H47" i="34"/>
  <c r="G53" i="34"/>
  <c r="G55" i="34" s="1"/>
  <c r="W53" i="34"/>
  <c r="W55" i="34" s="1"/>
  <c r="S53" i="34"/>
  <c r="S55" i="34" s="1"/>
  <c r="K53" i="34"/>
  <c r="K55" i="34" s="1"/>
  <c r="U53" i="34"/>
  <c r="U55" i="34" s="1"/>
  <c r="Q53" i="34"/>
  <c r="Q55" i="34" s="1"/>
  <c r="M53" i="34"/>
  <c r="M55" i="34" s="1"/>
  <c r="I53" i="34"/>
  <c r="I55" i="34" s="1"/>
  <c r="N55" i="21"/>
  <c r="P109" i="34" l="1"/>
  <c r="R106" i="34"/>
  <c r="U133" i="34"/>
  <c r="T80" i="34"/>
  <c r="T134" i="34" s="1"/>
  <c r="U106" i="34"/>
  <c r="X80" i="34"/>
  <c r="X134" i="34" s="1"/>
  <c r="V106" i="34"/>
  <c r="T106" i="34"/>
  <c r="X133" i="34"/>
  <c r="Q106" i="34"/>
  <c r="R133" i="34"/>
  <c r="Q133" i="34"/>
  <c r="V133" i="34"/>
  <c r="T133" i="34"/>
  <c r="P101" i="34"/>
  <c r="P140" i="30"/>
  <c r="P167" i="30"/>
  <c r="P166" i="30"/>
  <c r="P139" i="30"/>
  <c r="Q100" i="34"/>
  <c r="P138" i="30"/>
  <c r="P165" i="30"/>
  <c r="S131" i="34"/>
  <c r="W104" i="34"/>
  <c r="R80" i="34"/>
  <c r="R107" i="34" s="1"/>
  <c r="P131" i="34"/>
  <c r="V105" i="34"/>
  <c r="S80" i="34"/>
  <c r="S107" i="34" s="1"/>
  <c r="V80" i="34"/>
  <c r="V134" i="34" s="1"/>
  <c r="W80" i="34"/>
  <c r="W133" i="34"/>
  <c r="W106" i="34"/>
  <c r="Q80" i="34"/>
  <c r="Q131" i="34"/>
  <c r="P134" i="34"/>
  <c r="X131" i="34"/>
  <c r="X104" i="34"/>
  <c r="W132" i="34"/>
  <c r="W105" i="34"/>
  <c r="U80" i="34"/>
  <c r="U104" i="34"/>
  <c r="U131" i="34"/>
  <c r="S133" i="34"/>
  <c r="S106" i="34"/>
  <c r="T131" i="34"/>
  <c r="T104" i="34"/>
  <c r="S132" i="34"/>
  <c r="S105" i="34"/>
  <c r="U105" i="34"/>
  <c r="U132" i="34"/>
  <c r="P107" i="34"/>
  <c r="X107" i="34" l="1"/>
  <c r="T107" i="34"/>
  <c r="Q140" i="30"/>
  <c r="R100" i="34"/>
  <c r="S134" i="34"/>
  <c r="R134" i="34"/>
  <c r="V107" i="34"/>
  <c r="Q114" i="30"/>
  <c r="Q167" i="30"/>
  <c r="Q134" i="34"/>
  <c r="Q107" i="34"/>
  <c r="W134" i="34"/>
  <c r="W107" i="34"/>
  <c r="U134" i="34"/>
  <c r="U107" i="34"/>
  <c r="R140" i="30" l="1"/>
  <c r="S100" i="34"/>
  <c r="R167" i="30"/>
  <c r="O95" i="30"/>
  <c r="T100" i="34" l="1"/>
  <c r="S140" i="30"/>
  <c r="S167" i="30"/>
  <c r="P110" i="34" l="1"/>
  <c r="C29" i="29" s="1"/>
  <c r="T140" i="30"/>
  <c r="T167" i="30"/>
  <c r="U100" i="34"/>
  <c r="P137" i="34"/>
  <c r="P138" i="34" s="1"/>
  <c r="P111" i="34" l="1"/>
  <c r="N29" i="29"/>
  <c r="U140" i="30"/>
  <c r="U167" i="30"/>
  <c r="V100" i="34"/>
  <c r="Q110" i="34"/>
  <c r="D29" i="29" s="1"/>
  <c r="O29" i="29" s="1"/>
  <c r="Q137" i="34"/>
  <c r="Q138" i="34" s="1"/>
  <c r="X100" i="34" l="1"/>
  <c r="W100" i="34"/>
  <c r="V140" i="30"/>
  <c r="V167" i="30"/>
  <c r="Q111" i="34"/>
  <c r="R110" i="34"/>
  <c r="E29" i="29" s="1"/>
  <c r="P29" i="29" s="1"/>
  <c r="R137" i="34"/>
  <c r="R138" i="34" s="1"/>
  <c r="W140" i="30" l="1"/>
  <c r="W167" i="30"/>
  <c r="R111" i="34"/>
  <c r="S110" i="34"/>
  <c r="F29" i="29" s="1"/>
  <c r="Q29" i="29" s="1"/>
  <c r="S137" i="34"/>
  <c r="S138" i="34" s="1"/>
  <c r="X140" i="30" l="1"/>
  <c r="X167" i="30"/>
  <c r="S111" i="34"/>
  <c r="T110" i="34"/>
  <c r="G29" i="29" s="1"/>
  <c r="R29" i="29" s="1"/>
  <c r="T137" i="34"/>
  <c r="T138" i="34" s="1"/>
  <c r="T111" i="34" l="1"/>
  <c r="U110" i="34"/>
  <c r="U137" i="34"/>
  <c r="U138" i="34" s="1"/>
  <c r="U111" i="34" l="1"/>
  <c r="H29" i="29"/>
  <c r="S29" i="29" s="1"/>
  <c r="V110" i="34"/>
  <c r="V137" i="34"/>
  <c r="V138" i="34" s="1"/>
  <c r="V111" i="34" l="1"/>
  <c r="I29" i="29"/>
  <c r="T29" i="29" s="1"/>
  <c r="W110" i="34"/>
  <c r="W137" i="34"/>
  <c r="W138" i="34" s="1"/>
  <c r="W111" i="34" l="1"/>
  <c r="J29" i="29"/>
  <c r="U29" i="29" s="1"/>
  <c r="X110" i="34"/>
  <c r="X137" i="34"/>
  <c r="X138" i="34" s="1"/>
  <c r="X111" i="34" l="1"/>
  <c r="K29" i="29"/>
  <c r="V29" i="29" s="1"/>
  <c r="W29" i="29" s="1"/>
  <c r="P95" i="30"/>
  <c r="Q95" i="30" l="1"/>
  <c r="R95" i="30" l="1"/>
  <c r="S95" i="30" l="1"/>
  <c r="T95" i="30" l="1"/>
  <c r="U95" i="30" l="1"/>
  <c r="V95" i="30" l="1"/>
  <c r="W95" i="30" l="1"/>
  <c r="D146" i="17"/>
  <c r="D145" i="17"/>
  <c r="C136" i="17"/>
  <c r="B136" i="17"/>
  <c r="C135" i="17"/>
  <c r="B135" i="17"/>
  <c r="B137" i="17" s="1"/>
  <c r="B138" i="17" s="1"/>
  <c r="C59" i="17"/>
  <c r="X95" i="30" l="1"/>
  <c r="D136" i="17"/>
  <c r="B139" i="17"/>
  <c r="B140" i="17" l="1"/>
  <c r="B144" i="17" l="1"/>
  <c r="B145" i="17"/>
  <c r="B146" i="17" l="1"/>
  <c r="C146" i="17" s="1"/>
  <c r="F144" i="17"/>
  <c r="C144" i="17"/>
  <c r="C145" i="17"/>
  <c r="F145" i="17"/>
  <c r="B143" i="17"/>
  <c r="F146" i="17" l="1"/>
  <c r="B7" i="34" l="1"/>
  <c r="D39" i="21" l="1"/>
  <c r="D38" i="21" s="1"/>
  <c r="D56" i="21" l="1"/>
  <c r="D40" i="34"/>
  <c r="B7" i="33" l="1"/>
  <c r="K44" i="21"/>
  <c r="B7" i="32"/>
  <c r="P39" i="21" l="1"/>
  <c r="D58" i="31"/>
  <c r="D59" i="31" s="1"/>
  <c r="D60" i="31" s="1"/>
  <c r="Q62" i="21"/>
  <c r="R62" i="21"/>
  <c r="S62" i="21"/>
  <c r="T62" i="21"/>
  <c r="U62" i="21"/>
  <c r="V62" i="21"/>
  <c r="W62" i="21"/>
  <c r="X62" i="21"/>
  <c r="P62" i="21"/>
  <c r="O62" i="21"/>
  <c r="O16" i="21"/>
  <c r="D24" i="30"/>
  <c r="D23" i="30"/>
  <c r="E20" i="30"/>
  <c r="F20" i="30"/>
  <c r="G20" i="30"/>
  <c r="H20" i="30"/>
  <c r="I20" i="30"/>
  <c r="J20" i="30"/>
  <c r="D20" i="30"/>
  <c r="P15" i="30" l="1"/>
  <c r="C58" i="9" l="1"/>
  <c r="O66" i="21" l="1"/>
  <c r="E65" i="21"/>
  <c r="F65" i="21"/>
  <c r="G65" i="21"/>
  <c r="H65" i="21"/>
  <c r="I65" i="21"/>
  <c r="J65" i="21"/>
  <c r="K65" i="21"/>
  <c r="L65" i="21"/>
  <c r="M65" i="21"/>
  <c r="N65" i="21"/>
  <c r="D65" i="21"/>
  <c r="E62" i="21"/>
  <c r="E66" i="21" s="1"/>
  <c r="F62" i="21"/>
  <c r="F66" i="21" s="1"/>
  <c r="G62" i="21"/>
  <c r="G66" i="21" s="1"/>
  <c r="H62" i="21"/>
  <c r="H66" i="21" s="1"/>
  <c r="I62" i="21"/>
  <c r="I66" i="21" s="1"/>
  <c r="J62" i="21"/>
  <c r="J66" i="21" s="1"/>
  <c r="K62" i="21"/>
  <c r="K66" i="21" s="1"/>
  <c r="L62" i="21"/>
  <c r="L66" i="21" s="1"/>
  <c r="M62" i="21"/>
  <c r="M66" i="21" s="1"/>
  <c r="N62" i="21"/>
  <c r="D62" i="21"/>
  <c r="Q39" i="21"/>
  <c r="Q15" i="30" s="1"/>
  <c r="R39" i="21"/>
  <c r="R15" i="30" s="1"/>
  <c r="S39" i="21"/>
  <c r="S15" i="30" s="1"/>
  <c r="T39" i="21"/>
  <c r="T15" i="30" s="1"/>
  <c r="U39" i="21"/>
  <c r="U15" i="30" s="1"/>
  <c r="V39" i="21"/>
  <c r="V15" i="30" s="1"/>
  <c r="W39" i="21"/>
  <c r="W15" i="30" s="1"/>
  <c r="X39" i="21"/>
  <c r="X15" i="30" s="1"/>
  <c r="E43" i="21"/>
  <c r="F43" i="21"/>
  <c r="G43" i="21"/>
  <c r="H43" i="21"/>
  <c r="I43" i="21"/>
  <c r="J43" i="21"/>
  <c r="K43" i="21"/>
  <c r="L43" i="21"/>
  <c r="M43" i="21"/>
  <c r="N43" i="21"/>
  <c r="O43" i="21"/>
  <c r="D43" i="21"/>
  <c r="O42" i="21"/>
  <c r="O39" i="21"/>
  <c r="O15" i="30" s="1"/>
  <c r="E42" i="21"/>
  <c r="F42" i="21"/>
  <c r="G42" i="21"/>
  <c r="H42" i="21"/>
  <c r="I42" i="21"/>
  <c r="J42" i="21"/>
  <c r="K42" i="21"/>
  <c r="L42" i="21"/>
  <c r="M42" i="21"/>
  <c r="N42" i="21"/>
  <c r="D42" i="21"/>
  <c r="E39" i="21"/>
  <c r="F39" i="21"/>
  <c r="G39" i="21"/>
  <c r="H39" i="21"/>
  <c r="I39" i="21"/>
  <c r="J39" i="21"/>
  <c r="K39" i="21"/>
  <c r="L39" i="21"/>
  <c r="M39" i="21"/>
  <c r="N39" i="21"/>
  <c r="O17" i="21"/>
  <c r="O20" i="21" s="1"/>
  <c r="O19" i="21" s="1"/>
  <c r="N32" i="21"/>
  <c r="F23" i="21"/>
  <c r="G23" i="21" s="1"/>
  <c r="H23" i="21" s="1"/>
  <c r="I23" i="21" s="1"/>
  <c r="J23" i="21" s="1"/>
  <c r="K23" i="21" s="1"/>
  <c r="L23" i="21" s="1"/>
  <c r="M23" i="21" s="1"/>
  <c r="N23" i="21" s="1"/>
  <c r="D19" i="21"/>
  <c r="E19" i="21"/>
  <c r="F19" i="21"/>
  <c r="G19" i="21"/>
  <c r="H19" i="21"/>
  <c r="I19" i="21"/>
  <c r="J19" i="21"/>
  <c r="K19" i="21"/>
  <c r="L19" i="21"/>
  <c r="M19" i="21"/>
  <c r="D16" i="21"/>
  <c r="K16" i="21"/>
  <c r="L16" i="21"/>
  <c r="M16" i="21"/>
  <c r="J16" i="21"/>
  <c r="I16" i="21"/>
  <c r="H16" i="21"/>
  <c r="G16" i="21"/>
  <c r="G20" i="21" s="1"/>
  <c r="F16" i="21"/>
  <c r="F20" i="21" s="1"/>
  <c r="E16" i="21"/>
  <c r="D15" i="21" l="1"/>
  <c r="D39" i="34" s="1"/>
  <c r="D20" i="21"/>
  <c r="D66" i="21"/>
  <c r="D64" i="21" s="1"/>
  <c r="D61" i="21"/>
  <c r="D41" i="34" s="1"/>
  <c r="E64" i="21"/>
  <c r="D41" i="21"/>
  <c r="O19" i="30"/>
  <c r="O16" i="30" s="1"/>
  <c r="O32" i="30" s="1"/>
  <c r="L18" i="30"/>
  <c r="H18" i="30"/>
  <c r="D18" i="30"/>
  <c r="L15" i="30"/>
  <c r="H15" i="30"/>
  <c r="E20" i="21"/>
  <c r="E19" i="30" s="1"/>
  <c r="E15" i="21"/>
  <c r="E39" i="34" s="1"/>
  <c r="K18" i="30"/>
  <c r="G18" i="30"/>
  <c r="D15" i="30"/>
  <c r="K15" i="30"/>
  <c r="G15" i="30"/>
  <c r="N66" i="21"/>
  <c r="N64" i="21" s="1"/>
  <c r="F18" i="21"/>
  <c r="F19" i="30"/>
  <c r="J18" i="30"/>
  <c r="F18" i="30"/>
  <c r="J15" i="30"/>
  <c r="F15" i="30"/>
  <c r="M41" i="21"/>
  <c r="P41" i="21" s="1"/>
  <c r="I41" i="21"/>
  <c r="E41" i="21"/>
  <c r="M64" i="21"/>
  <c r="I64" i="21"/>
  <c r="G19" i="30"/>
  <c r="M18" i="30"/>
  <c r="I18" i="30"/>
  <c r="E18" i="30"/>
  <c r="M15" i="30"/>
  <c r="I15" i="30"/>
  <c r="E15" i="30"/>
  <c r="E14" i="30" s="1"/>
  <c r="L41" i="21"/>
  <c r="H41" i="21"/>
  <c r="L64" i="21"/>
  <c r="G41" i="21"/>
  <c r="O41" i="21"/>
  <c r="N41" i="21"/>
  <c r="J41" i="21"/>
  <c r="F41" i="21"/>
  <c r="K64" i="21"/>
  <c r="G64" i="21"/>
  <c r="F64" i="21"/>
  <c r="H64" i="21"/>
  <c r="L20" i="21"/>
  <c r="J20" i="21"/>
  <c r="H20" i="21"/>
  <c r="M20" i="21"/>
  <c r="K41" i="21"/>
  <c r="J64" i="21"/>
  <c r="I20" i="21"/>
  <c r="K20" i="21"/>
  <c r="G18" i="21"/>
  <c r="M41" i="17"/>
  <c r="M44" i="17" s="1"/>
  <c r="M40" i="17"/>
  <c r="M38" i="17"/>
  <c r="G38" i="17"/>
  <c r="I35" i="17"/>
  <c r="H35" i="17"/>
  <c r="G35" i="17"/>
  <c r="D19" i="30" l="1"/>
  <c r="D42" i="34"/>
  <c r="D18" i="21"/>
  <c r="G16" i="30"/>
  <c r="E16" i="30"/>
  <c r="F16" i="30"/>
  <c r="H18" i="21"/>
  <c r="H19" i="30"/>
  <c r="H16" i="30" s="1"/>
  <c r="K18" i="21"/>
  <c r="K19" i="30"/>
  <c r="K16" i="30" s="1"/>
  <c r="E18" i="21"/>
  <c r="M18" i="21"/>
  <c r="M19" i="30"/>
  <c r="M16" i="30" s="1"/>
  <c r="L18" i="21"/>
  <c r="L19" i="30"/>
  <c r="L16" i="30" s="1"/>
  <c r="I18" i="21"/>
  <c r="I19" i="30"/>
  <c r="I16" i="30" s="1"/>
  <c r="J18" i="21"/>
  <c r="J19" i="30"/>
  <c r="J16" i="30" s="1"/>
  <c r="N16" i="21" l="1"/>
  <c r="N19" i="21"/>
  <c r="N18" i="30" l="1"/>
  <c r="N15" i="30"/>
  <c r="N31" i="30" s="1"/>
  <c r="N20" i="21"/>
  <c r="N19" i="30" s="1"/>
  <c r="N18" i="21" l="1"/>
  <c r="N16" i="30"/>
  <c r="N32" i="30" s="1"/>
  <c r="N34" i="30" s="1"/>
  <c r="N35" i="30" s="1"/>
  <c r="B7" i="31"/>
  <c r="R21" i="21"/>
  <c r="S21" i="21"/>
  <c r="T21" i="21"/>
  <c r="U21" i="21"/>
  <c r="V21" i="21"/>
  <c r="W21" i="21"/>
  <c r="X21" i="21"/>
  <c r="Q21" i="21"/>
  <c r="P21" i="21"/>
  <c r="P15" i="21" s="1"/>
  <c r="P35" i="33" l="1"/>
  <c r="P28" i="32"/>
  <c r="P39" i="34"/>
  <c r="N70" i="21"/>
  <c r="P117" i="33" l="1"/>
  <c r="P90" i="33"/>
  <c r="P133" i="30"/>
  <c r="P160" i="30"/>
  <c r="P120" i="34"/>
  <c r="P93" i="34"/>
  <c r="N76" i="21"/>
  <c r="N90" i="21"/>
  <c r="E61" i="21"/>
  <c r="E41" i="34" s="1"/>
  <c r="E38" i="21"/>
  <c r="E40" i="34" s="1"/>
  <c r="H154" i="9"/>
  <c r="H155" i="9"/>
  <c r="H156" i="9"/>
  <c r="H157" i="9"/>
  <c r="H158" i="9"/>
  <c r="H159" i="9"/>
  <c r="H160" i="9"/>
  <c r="H161" i="9"/>
  <c r="H162" i="9"/>
  <c r="H163" i="9"/>
  <c r="H153" i="9"/>
  <c r="X149" i="9"/>
  <c r="W149" i="9"/>
  <c r="V149" i="9"/>
  <c r="U149" i="9"/>
  <c r="T149" i="9"/>
  <c r="S149" i="9"/>
  <c r="R149" i="9"/>
  <c r="Q149" i="9"/>
  <c r="P149" i="9"/>
  <c r="O149" i="9"/>
  <c r="N149" i="9"/>
  <c r="M149" i="9"/>
  <c r="L149" i="9"/>
  <c r="K149" i="9"/>
  <c r="J149" i="9"/>
  <c r="I149" i="9"/>
  <c r="H149" i="9"/>
  <c r="G149" i="9"/>
  <c r="F149" i="9"/>
  <c r="E149" i="9"/>
  <c r="D149" i="9"/>
  <c r="C149" i="9"/>
  <c r="L67" i="21"/>
  <c r="L71" i="21" s="1"/>
  <c r="M67" i="21"/>
  <c r="M71" i="21" s="1"/>
  <c r="N67" i="21"/>
  <c r="K67" i="21"/>
  <c r="K71" i="21" s="1"/>
  <c r="N72" i="21"/>
  <c r="K116" i="9"/>
  <c r="L55" i="21" s="1"/>
  <c r="M55" i="21"/>
  <c r="K55" i="21"/>
  <c r="L44" i="21"/>
  <c r="M44" i="21"/>
  <c r="N44" i="21"/>
  <c r="O21" i="21"/>
  <c r="N21" i="21"/>
  <c r="I32" i="21"/>
  <c r="J32" i="21"/>
  <c r="M32" i="21"/>
  <c r="H32" i="21"/>
  <c r="K134" i="9"/>
  <c r="L78" i="21" s="1"/>
  <c r="J134" i="9"/>
  <c r="K78" i="21" s="1"/>
  <c r="I134" i="9"/>
  <c r="M133" i="9"/>
  <c r="M134" i="9" s="1"/>
  <c r="N78" i="21" s="1"/>
  <c r="L133" i="9"/>
  <c r="L134" i="9" s="1"/>
  <c r="L135" i="9" s="1"/>
  <c r="J133" i="9"/>
  <c r="I133" i="9"/>
  <c r="H133" i="9"/>
  <c r="H134" i="9" s="1"/>
  <c r="G133" i="9"/>
  <c r="G134" i="9" s="1"/>
  <c r="G135" i="9" s="1"/>
  <c r="F133" i="9"/>
  <c r="F134" i="9" s="1"/>
  <c r="E133" i="9"/>
  <c r="E134" i="9" s="1"/>
  <c r="D133" i="9"/>
  <c r="D134" i="9" s="1"/>
  <c r="C133" i="9"/>
  <c r="C134" i="9" s="1"/>
  <c r="C135" i="9" s="1"/>
  <c r="J127" i="9"/>
  <c r="J129" i="9" s="1"/>
  <c r="J135" i="9" s="1"/>
  <c r="M126" i="9"/>
  <c r="M127" i="9" s="1"/>
  <c r="L126" i="9"/>
  <c r="L127" i="9" s="1"/>
  <c r="L129" i="9" s="1"/>
  <c r="K126" i="9"/>
  <c r="K127" i="9" s="1"/>
  <c r="K129" i="9" s="1"/>
  <c r="K135" i="9" s="1"/>
  <c r="J126" i="9"/>
  <c r="I126" i="9"/>
  <c r="I127" i="9" s="1"/>
  <c r="I129" i="9" s="1"/>
  <c r="H126" i="9"/>
  <c r="H127" i="9" s="1"/>
  <c r="H129" i="9" s="1"/>
  <c r="G126" i="9"/>
  <c r="G127" i="9" s="1"/>
  <c r="G129" i="9" s="1"/>
  <c r="F126" i="9"/>
  <c r="F127" i="9" s="1"/>
  <c r="F129" i="9" s="1"/>
  <c r="F135" i="9" s="1"/>
  <c r="E126" i="9"/>
  <c r="E127" i="9" s="1"/>
  <c r="E129" i="9" s="1"/>
  <c r="D126" i="9"/>
  <c r="D127" i="9" s="1"/>
  <c r="D129" i="9" s="1"/>
  <c r="C126" i="9"/>
  <c r="C127" i="9" s="1"/>
  <c r="C129" i="9" s="1"/>
  <c r="M122" i="9"/>
  <c r="M108" i="9"/>
  <c r="M96" i="9"/>
  <c r="M97" i="9" s="1"/>
  <c r="L96" i="9"/>
  <c r="K96" i="9"/>
  <c r="L32" i="21" s="1"/>
  <c r="J96" i="9"/>
  <c r="K32" i="21" s="1"/>
  <c r="I96" i="9"/>
  <c r="H96" i="9"/>
  <c r="G96" i="9"/>
  <c r="G97" i="9" s="1"/>
  <c r="F96" i="9"/>
  <c r="E96" i="9"/>
  <c r="D96" i="9"/>
  <c r="C96" i="9"/>
  <c r="C97" i="9" s="1"/>
  <c r="M89" i="9"/>
  <c r="M91" i="9" s="1"/>
  <c r="D89" i="9"/>
  <c r="D91" i="9" s="1"/>
  <c r="M88" i="9"/>
  <c r="L88" i="9"/>
  <c r="L89" i="9" s="1"/>
  <c r="L91" i="9" s="1"/>
  <c r="K88" i="9"/>
  <c r="K89" i="9" s="1"/>
  <c r="K91" i="9" s="1"/>
  <c r="J88" i="9"/>
  <c r="J89" i="9" s="1"/>
  <c r="J91" i="9" s="1"/>
  <c r="J97" i="9" s="1"/>
  <c r="I88" i="9"/>
  <c r="I89" i="9" s="1"/>
  <c r="I91" i="9" s="1"/>
  <c r="I97" i="9" s="1"/>
  <c r="H88" i="9"/>
  <c r="H89" i="9" s="1"/>
  <c r="H91" i="9" s="1"/>
  <c r="F88" i="9"/>
  <c r="F89" i="9" s="1"/>
  <c r="F91" i="9" s="1"/>
  <c r="E88" i="9"/>
  <c r="E89" i="9" s="1"/>
  <c r="E91" i="9" s="1"/>
  <c r="E97" i="9" s="1"/>
  <c r="D88" i="9"/>
  <c r="C88" i="9"/>
  <c r="C89" i="9" s="1"/>
  <c r="C91" i="9" s="1"/>
  <c r="N49" i="21"/>
  <c r="O40" i="21"/>
  <c r="P40" i="21" s="1"/>
  <c r="Q33" i="30"/>
  <c r="R33" i="30" s="1"/>
  <c r="S33" i="30" s="1"/>
  <c r="T33" i="30" s="1"/>
  <c r="U33" i="30" s="1"/>
  <c r="V33" i="30" s="1"/>
  <c r="W33" i="30" s="1"/>
  <c r="X33" i="30" s="1"/>
  <c r="X22" i="30"/>
  <c r="W22" i="30"/>
  <c r="V22" i="30"/>
  <c r="U22" i="30"/>
  <c r="T22" i="30"/>
  <c r="S22" i="30"/>
  <c r="R22" i="30"/>
  <c r="Q22" i="30"/>
  <c r="P22" i="30"/>
  <c r="O22" i="30"/>
  <c r="N22" i="30"/>
  <c r="M22" i="30"/>
  <c r="L22" i="30"/>
  <c r="K22" i="30"/>
  <c r="J22" i="30"/>
  <c r="I22" i="30"/>
  <c r="H22" i="30"/>
  <c r="G22" i="30"/>
  <c r="F22" i="30"/>
  <c r="E22" i="30"/>
  <c r="O17" i="30"/>
  <c r="P17" i="30" s="1"/>
  <c r="Q17" i="30" s="1"/>
  <c r="R17" i="30" s="1"/>
  <c r="S17" i="30" s="1"/>
  <c r="T17" i="30" s="1"/>
  <c r="U17" i="30" s="1"/>
  <c r="V17" i="30" s="1"/>
  <c r="W17" i="30" s="1"/>
  <c r="X17" i="30" s="1"/>
  <c r="X31" i="30"/>
  <c r="W31" i="30"/>
  <c r="U31" i="30"/>
  <c r="S31" i="30"/>
  <c r="Q31" i="30"/>
  <c r="P31" i="30"/>
  <c r="O31" i="30"/>
  <c r="O34" i="30" s="1"/>
  <c r="J14" i="30"/>
  <c r="I14" i="30"/>
  <c r="H14" i="30"/>
  <c r="G14" i="30"/>
  <c r="F14" i="30"/>
  <c r="B7" i="30"/>
  <c r="F15" i="21"/>
  <c r="F39" i="34" s="1"/>
  <c r="G15" i="21"/>
  <c r="G39" i="34" s="1"/>
  <c r="H15" i="21"/>
  <c r="H39" i="34" s="1"/>
  <c r="I15" i="21"/>
  <c r="I39" i="34" s="1"/>
  <c r="J15" i="21"/>
  <c r="J39" i="34" s="1"/>
  <c r="K15" i="21"/>
  <c r="L15" i="21"/>
  <c r="M15" i="21"/>
  <c r="L39" i="34" l="1"/>
  <c r="E42" i="34"/>
  <c r="K39" i="34"/>
  <c r="M39" i="34"/>
  <c r="O55" i="21"/>
  <c r="F32" i="21"/>
  <c r="E56" i="21"/>
  <c r="G32" i="21"/>
  <c r="G33" i="21" s="1"/>
  <c r="P43" i="21"/>
  <c r="P42" i="21" s="1"/>
  <c r="L61" i="21"/>
  <c r="Q40" i="21"/>
  <c r="R40" i="21" s="1"/>
  <c r="S40" i="21" s="1"/>
  <c r="T40" i="21" s="1"/>
  <c r="U40" i="21" s="1"/>
  <c r="V40" i="21" s="1"/>
  <c r="W40" i="21" s="1"/>
  <c r="X40" i="21" s="1"/>
  <c r="P55" i="21"/>
  <c r="K20" i="30"/>
  <c r="K14" i="30" s="1"/>
  <c r="N20" i="30"/>
  <c r="N36" i="30" s="1"/>
  <c r="N39" i="30" s="1"/>
  <c r="M20" i="30"/>
  <c r="M14" i="30" s="1"/>
  <c r="O44" i="21"/>
  <c r="P44" i="21" s="1"/>
  <c r="L20" i="30"/>
  <c r="L14" i="30" s="1"/>
  <c r="N71" i="21"/>
  <c r="N61" i="21"/>
  <c r="O35" i="30"/>
  <c r="T31" i="30"/>
  <c r="N48" i="21"/>
  <c r="N47" i="21" s="1"/>
  <c r="N89" i="21" s="1"/>
  <c r="N38" i="21"/>
  <c r="L48" i="21"/>
  <c r="K48" i="21"/>
  <c r="E82" i="21"/>
  <c r="E79" i="21"/>
  <c r="M48" i="21"/>
  <c r="E32" i="21"/>
  <c r="F61" i="21"/>
  <c r="F41" i="34" s="1"/>
  <c r="O46" i="21"/>
  <c r="P46" i="21" s="1"/>
  <c r="J61" i="21"/>
  <c r="H61" i="21"/>
  <c r="H41" i="34" s="1"/>
  <c r="F33" i="21"/>
  <c r="O69" i="21"/>
  <c r="P69" i="21" s="1"/>
  <c r="Q69" i="21" s="1"/>
  <c r="R69" i="21" s="1"/>
  <c r="S69" i="21" s="1"/>
  <c r="T69" i="21" s="1"/>
  <c r="U69" i="21" s="1"/>
  <c r="V69" i="21" s="1"/>
  <c r="W69" i="21" s="1"/>
  <c r="X69" i="21" s="1"/>
  <c r="M69" i="21"/>
  <c r="K70" i="21" s="1"/>
  <c r="H38" i="21"/>
  <c r="H40" i="34" s="1"/>
  <c r="G61" i="21"/>
  <c r="G41" i="34" s="1"/>
  <c r="K38" i="21"/>
  <c r="I61" i="21"/>
  <c r="I41" i="34" s="1"/>
  <c r="G38" i="21"/>
  <c r="G40" i="34" s="1"/>
  <c r="J38" i="21"/>
  <c r="J40" i="34" s="1"/>
  <c r="F38" i="21"/>
  <c r="F40" i="34" s="1"/>
  <c r="I38" i="21"/>
  <c r="I40" i="34" s="1"/>
  <c r="I42" i="34" s="1"/>
  <c r="M129" i="9"/>
  <c r="I135" i="9"/>
  <c r="F97" i="9"/>
  <c r="K117" i="9"/>
  <c r="M78" i="21"/>
  <c r="M38" i="21"/>
  <c r="P66" i="21"/>
  <c r="T66" i="21"/>
  <c r="M61" i="21"/>
  <c r="J33" i="21"/>
  <c r="L38" i="21"/>
  <c r="O67" i="21"/>
  <c r="Q66" i="21"/>
  <c r="M75" i="21"/>
  <c r="R66" i="21"/>
  <c r="S66" i="21"/>
  <c r="K33" i="21"/>
  <c r="I33" i="21"/>
  <c r="H33" i="21"/>
  <c r="M33" i="21"/>
  <c r="L33" i="21"/>
  <c r="K97" i="9"/>
  <c r="D135" i="9"/>
  <c r="H135" i="9"/>
  <c r="D97" i="9"/>
  <c r="H97" i="9"/>
  <c r="L97" i="9"/>
  <c r="E135" i="9"/>
  <c r="M135" i="9"/>
  <c r="R31" i="30"/>
  <c r="V31" i="30"/>
  <c r="F42" i="34" l="1"/>
  <c r="J41" i="34"/>
  <c r="J42" i="34" s="1"/>
  <c r="J82" i="21"/>
  <c r="M41" i="34"/>
  <c r="K40" i="34"/>
  <c r="L40" i="34"/>
  <c r="M40" i="34"/>
  <c r="L41" i="34"/>
  <c r="G42" i="34"/>
  <c r="H42" i="34"/>
  <c r="N40" i="34"/>
  <c r="N41" i="34"/>
  <c r="N14" i="34"/>
  <c r="N15" i="34" s="1"/>
  <c r="G56" i="21"/>
  <c r="F56" i="21"/>
  <c r="G145" i="17"/>
  <c r="H145" i="17" s="1"/>
  <c r="I145" i="17" s="1"/>
  <c r="Q46" i="21"/>
  <c r="R46" i="21" s="1"/>
  <c r="S46" i="21" s="1"/>
  <c r="T46" i="21" s="1"/>
  <c r="U46" i="21" s="1"/>
  <c r="V46" i="21" s="1"/>
  <c r="W46" i="21" s="1"/>
  <c r="X46" i="21" s="1"/>
  <c r="L79" i="21"/>
  <c r="O48" i="21"/>
  <c r="U43" i="21"/>
  <c r="S43" i="21"/>
  <c r="R43" i="21"/>
  <c r="X43" i="21"/>
  <c r="V43" i="21"/>
  <c r="Q43" i="21"/>
  <c r="T43" i="21"/>
  <c r="W43" i="21"/>
  <c r="Q55" i="21"/>
  <c r="R55" i="21" s="1"/>
  <c r="S55" i="21" s="1"/>
  <c r="O78" i="21"/>
  <c r="E33" i="21"/>
  <c r="O32" i="21"/>
  <c r="M47" i="21"/>
  <c r="K47" i="21"/>
  <c r="K52" i="21"/>
  <c r="L47" i="21"/>
  <c r="N42" i="30"/>
  <c r="N41" i="30" s="1"/>
  <c r="N40" i="30"/>
  <c r="N43" i="30" s="1"/>
  <c r="M52" i="21"/>
  <c r="O38" i="21"/>
  <c r="O20" i="30"/>
  <c r="Q44" i="21"/>
  <c r="N56" i="21"/>
  <c r="N79" i="21"/>
  <c r="P38" i="21"/>
  <c r="P36" i="33" s="1"/>
  <c r="L52" i="21"/>
  <c r="M82" i="21"/>
  <c r="M83" i="21" s="1"/>
  <c r="M79" i="21"/>
  <c r="I56" i="21"/>
  <c r="I79" i="21"/>
  <c r="I82" i="21"/>
  <c r="H79" i="21"/>
  <c r="H82" i="21"/>
  <c r="F79" i="21"/>
  <c r="F82" i="21"/>
  <c r="L56" i="21"/>
  <c r="M56" i="21"/>
  <c r="K56" i="21"/>
  <c r="J79" i="21"/>
  <c r="H56" i="21"/>
  <c r="P48" i="21"/>
  <c r="J56" i="21"/>
  <c r="G79" i="21"/>
  <c r="G82" i="21"/>
  <c r="L82" i="21"/>
  <c r="L83" i="21" s="1"/>
  <c r="U66" i="21"/>
  <c r="L70" i="21"/>
  <c r="M70" i="21"/>
  <c r="N53" i="21"/>
  <c r="N57" i="21" s="1"/>
  <c r="W66" i="21"/>
  <c r="N73" i="21"/>
  <c r="K61" i="21"/>
  <c r="K75" i="21"/>
  <c r="N75" i="21"/>
  <c r="N74" i="21" s="1"/>
  <c r="X66" i="21"/>
  <c r="V66" i="21"/>
  <c r="L75" i="21"/>
  <c r="N52" i="21"/>
  <c r="N51" i="21" s="1"/>
  <c r="O61" i="21"/>
  <c r="P67" i="21"/>
  <c r="P20" i="30" s="1"/>
  <c r="O71" i="21"/>
  <c r="N50" i="21"/>
  <c r="L42" i="34" l="1"/>
  <c r="M42" i="34"/>
  <c r="K82" i="21"/>
  <c r="K85" i="21" s="1"/>
  <c r="M84" i="21"/>
  <c r="M85" i="21"/>
  <c r="L85" i="21"/>
  <c r="L84" i="21"/>
  <c r="O81" i="30"/>
  <c r="M106" i="21"/>
  <c r="M107" i="21"/>
  <c r="M104" i="21"/>
  <c r="M105" i="21"/>
  <c r="L105" i="21"/>
  <c r="L104" i="21"/>
  <c r="L106" i="21"/>
  <c r="L107" i="21"/>
  <c r="O30" i="32"/>
  <c r="P29" i="32"/>
  <c r="P80" i="30"/>
  <c r="P40" i="34"/>
  <c r="O80" i="30"/>
  <c r="O29" i="32"/>
  <c r="O37" i="33"/>
  <c r="O41" i="34"/>
  <c r="G146" i="17"/>
  <c r="H146" i="17" s="1"/>
  <c r="I146" i="17" s="1"/>
  <c r="K41" i="34"/>
  <c r="K42" i="34" s="1"/>
  <c r="O36" i="33"/>
  <c r="O40" i="34"/>
  <c r="P78" i="21"/>
  <c r="O47" i="21"/>
  <c r="O52" i="21"/>
  <c r="P32" i="21"/>
  <c r="T55" i="21"/>
  <c r="P36" i="30"/>
  <c r="P39" i="30" s="1"/>
  <c r="P14" i="30"/>
  <c r="O36" i="30"/>
  <c r="O39" i="30" s="1"/>
  <c r="O14" i="30"/>
  <c r="O56" i="21"/>
  <c r="N44" i="30"/>
  <c r="P47" i="21"/>
  <c r="Q38" i="21"/>
  <c r="P52" i="21"/>
  <c r="Q48" i="21"/>
  <c r="R44" i="21"/>
  <c r="R38" i="21" s="1"/>
  <c r="N77" i="21"/>
  <c r="N54" i="21"/>
  <c r="K79" i="21"/>
  <c r="O79" i="21"/>
  <c r="M76" i="21"/>
  <c r="M77" i="21" s="1"/>
  <c r="O64" i="21"/>
  <c r="O65" i="21" s="1"/>
  <c r="O18" i="30" s="1"/>
  <c r="O70" i="21"/>
  <c r="O75" i="21"/>
  <c r="P61" i="21"/>
  <c r="Q67" i="21"/>
  <c r="Q20" i="30" s="1"/>
  <c r="P71" i="21"/>
  <c r="P56" i="21"/>
  <c r="K83" i="21" l="1"/>
  <c r="K84" i="21"/>
  <c r="K107" i="21"/>
  <c r="K105" i="21"/>
  <c r="K104" i="21"/>
  <c r="K106" i="21"/>
  <c r="L97" i="21"/>
  <c r="L98" i="21"/>
  <c r="L99" i="21"/>
  <c r="M98" i="21"/>
  <c r="M99" i="21"/>
  <c r="M97" i="21"/>
  <c r="P82" i="21"/>
  <c r="P85" i="21" s="1"/>
  <c r="P173" i="21" s="1"/>
  <c r="P37" i="33"/>
  <c r="P53" i="21"/>
  <c r="P89" i="21"/>
  <c r="Q80" i="30"/>
  <c r="Q29" i="32"/>
  <c r="P30" i="32"/>
  <c r="P81" i="30"/>
  <c r="R29" i="32"/>
  <c r="R80" i="30"/>
  <c r="P31" i="32"/>
  <c r="P121" i="34"/>
  <c r="P94" i="34"/>
  <c r="P41" i="34"/>
  <c r="P95" i="34" s="1"/>
  <c r="Q36" i="33"/>
  <c r="Q40" i="34"/>
  <c r="R36" i="33"/>
  <c r="R40" i="34"/>
  <c r="Q78" i="21"/>
  <c r="Q32" i="21"/>
  <c r="U55" i="21"/>
  <c r="V55" i="21" s="1"/>
  <c r="W55" i="21" s="1"/>
  <c r="O40" i="30"/>
  <c r="O43" i="30" s="1"/>
  <c r="O42" i="30"/>
  <c r="P40" i="30"/>
  <c r="R48" i="21"/>
  <c r="Q47" i="21"/>
  <c r="Q36" i="30"/>
  <c r="Q39" i="30" s="1"/>
  <c r="Q14" i="30"/>
  <c r="Q52" i="21"/>
  <c r="S44" i="21"/>
  <c r="P79" i="21"/>
  <c r="K76" i="21"/>
  <c r="K77" i="21" s="1"/>
  <c r="L76" i="21"/>
  <c r="L77" i="21" s="1"/>
  <c r="O53" i="21"/>
  <c r="P64" i="21"/>
  <c r="O90" i="21"/>
  <c r="M53" i="21"/>
  <c r="M54" i="21" s="1"/>
  <c r="P70" i="21"/>
  <c r="P75" i="21"/>
  <c r="Q71" i="21"/>
  <c r="R67" i="21"/>
  <c r="R20" i="30" s="1"/>
  <c r="Q61" i="21"/>
  <c r="Q56" i="21"/>
  <c r="P83" i="21" l="1"/>
  <c r="P171" i="21" s="1"/>
  <c r="P84" i="21"/>
  <c r="P172" i="21" s="1"/>
  <c r="P142" i="21"/>
  <c r="K98" i="21"/>
  <c r="K97" i="21"/>
  <c r="K99" i="21"/>
  <c r="P107" i="21"/>
  <c r="P105" i="21"/>
  <c r="P104" i="21"/>
  <c r="P106" i="21"/>
  <c r="P92" i="33"/>
  <c r="P38" i="33"/>
  <c r="P42" i="34"/>
  <c r="P82" i="30"/>
  <c r="Q81" i="30"/>
  <c r="Q30" i="32"/>
  <c r="P122" i="34"/>
  <c r="Q69" i="34"/>
  <c r="P69" i="34"/>
  <c r="Q37" i="33"/>
  <c r="Q41" i="34"/>
  <c r="O14" i="34"/>
  <c r="O15" i="34" s="1"/>
  <c r="P13" i="34"/>
  <c r="R78" i="21"/>
  <c r="R32" i="21"/>
  <c r="X55" i="21"/>
  <c r="S48" i="21"/>
  <c r="S52" i="21" s="1"/>
  <c r="O44" i="30"/>
  <c r="S38" i="21"/>
  <c r="R52" i="21"/>
  <c r="R47" i="21"/>
  <c r="T44" i="21"/>
  <c r="T48" i="21" s="1"/>
  <c r="R14" i="30"/>
  <c r="R36" i="30"/>
  <c r="R39" i="30" s="1"/>
  <c r="Q40" i="30"/>
  <c r="Q79" i="21"/>
  <c r="K53" i="21"/>
  <c r="K54" i="21" s="1"/>
  <c r="L53" i="21"/>
  <c r="L54" i="21" s="1"/>
  <c r="O76" i="21"/>
  <c r="O77" i="21" s="1"/>
  <c r="Q64" i="21"/>
  <c r="P65" i="21"/>
  <c r="P90" i="21" s="1"/>
  <c r="O89" i="21"/>
  <c r="O54" i="21"/>
  <c r="Q41" i="21"/>
  <c r="R61" i="21"/>
  <c r="S67" i="21"/>
  <c r="S20" i="30" s="1"/>
  <c r="R71" i="21"/>
  <c r="Q75" i="21"/>
  <c r="Q70" i="21"/>
  <c r="R56" i="21"/>
  <c r="P169" i="21" l="1"/>
  <c r="P98" i="21"/>
  <c r="P24" i="32" s="1"/>
  <c r="P144" i="21"/>
  <c r="P164" i="21" s="1"/>
  <c r="P23" i="33" s="1"/>
  <c r="P123" i="34"/>
  <c r="P97" i="21"/>
  <c r="P99" i="21"/>
  <c r="R30" i="32"/>
  <c r="R81" i="30"/>
  <c r="S80" i="30"/>
  <c r="S29" i="32"/>
  <c r="R94" i="34"/>
  <c r="R37" i="33"/>
  <c r="R41" i="34"/>
  <c r="S36" i="33"/>
  <c r="S40" i="34"/>
  <c r="Q94" i="34"/>
  <c r="Q121" i="34"/>
  <c r="P96" i="34"/>
  <c r="R121" i="34"/>
  <c r="O20" i="34"/>
  <c r="P14" i="34"/>
  <c r="P15" i="34" s="1"/>
  <c r="P18" i="34"/>
  <c r="Q13" i="34"/>
  <c r="S78" i="21"/>
  <c r="S47" i="21"/>
  <c r="S32" i="21"/>
  <c r="U44" i="21"/>
  <c r="U48" i="21" s="1"/>
  <c r="T38" i="21"/>
  <c r="S14" i="30"/>
  <c r="S36" i="30"/>
  <c r="S39" i="30" s="1"/>
  <c r="R40" i="30"/>
  <c r="R79" i="21"/>
  <c r="R41" i="21"/>
  <c r="Q42" i="21"/>
  <c r="R64" i="21"/>
  <c r="Q65" i="21"/>
  <c r="Q90" i="21" s="1"/>
  <c r="P76" i="21"/>
  <c r="P77" i="21" s="1"/>
  <c r="R75" i="21"/>
  <c r="R70" i="21"/>
  <c r="T67" i="21"/>
  <c r="T20" i="30" s="1"/>
  <c r="S71" i="21"/>
  <c r="S61" i="21"/>
  <c r="T47" i="21"/>
  <c r="T52" i="21"/>
  <c r="S56" i="21"/>
  <c r="AF17" i="33" l="1"/>
  <c r="N36" i="29"/>
  <c r="P24" i="33"/>
  <c r="P145" i="21"/>
  <c r="P17" i="33" s="1"/>
  <c r="P74" i="30"/>
  <c r="P30" i="33"/>
  <c r="P23" i="32"/>
  <c r="P175" i="21"/>
  <c r="P180" i="21"/>
  <c r="P177" i="21"/>
  <c r="P181" i="21"/>
  <c r="P176" i="21"/>
  <c r="P179" i="21"/>
  <c r="P31" i="33"/>
  <c r="P35" i="34"/>
  <c r="P75" i="30"/>
  <c r="P34" i="34"/>
  <c r="P32" i="33"/>
  <c r="P76" i="30"/>
  <c r="P36" i="34"/>
  <c r="P25" i="32"/>
  <c r="P26" i="32" s="1"/>
  <c r="T29" i="32"/>
  <c r="T80" i="30"/>
  <c r="S81" i="30"/>
  <c r="S30" i="32"/>
  <c r="S94" i="34"/>
  <c r="S37" i="33"/>
  <c r="S41" i="34"/>
  <c r="T36" i="33"/>
  <c r="T40" i="34"/>
  <c r="Q95" i="34"/>
  <c r="Q122" i="34"/>
  <c r="Q14" i="34"/>
  <c r="Q15" i="34" s="1"/>
  <c r="Q18" i="34"/>
  <c r="P19" i="34"/>
  <c r="R13" i="34"/>
  <c r="T78" i="21"/>
  <c r="T32" i="21"/>
  <c r="U32" i="21" s="1"/>
  <c r="V32" i="21" s="1"/>
  <c r="W32" i="21" s="1"/>
  <c r="X32" i="21" s="1"/>
  <c r="U38" i="21"/>
  <c r="V44" i="21"/>
  <c r="V48" i="21" s="1"/>
  <c r="T14" i="30"/>
  <c r="T36" i="30"/>
  <c r="T39" i="30" s="1"/>
  <c r="S40" i="30"/>
  <c r="S79" i="21"/>
  <c r="P54" i="21"/>
  <c r="Q76" i="21"/>
  <c r="Q77" i="21" s="1"/>
  <c r="S64" i="21"/>
  <c r="R65" i="21"/>
  <c r="R90" i="21" s="1"/>
  <c r="Q53" i="21"/>
  <c r="Q89" i="21"/>
  <c r="Q142" i="21" s="1"/>
  <c r="Q144" i="21" s="1"/>
  <c r="Q164" i="21" s="1"/>
  <c r="Q23" i="33" s="1"/>
  <c r="S41" i="21"/>
  <c r="R42" i="21"/>
  <c r="U67" i="21"/>
  <c r="U20" i="30" s="1"/>
  <c r="T61" i="21"/>
  <c r="T71" i="21"/>
  <c r="S70" i="21"/>
  <c r="S75" i="21"/>
  <c r="U47" i="21"/>
  <c r="U52" i="21"/>
  <c r="T56" i="21"/>
  <c r="P185" i="21" l="1"/>
  <c r="AC16" i="33"/>
  <c r="AA16" i="33"/>
  <c r="AB16" i="33" s="1"/>
  <c r="AF18" i="33"/>
  <c r="P18" i="33"/>
  <c r="Q24" i="33"/>
  <c r="AG17" i="33"/>
  <c r="O36" i="29"/>
  <c r="P183" i="21"/>
  <c r="P184" i="21"/>
  <c r="P33" i="33"/>
  <c r="Q145" i="21"/>
  <c r="Q17" i="33" s="1"/>
  <c r="AG18" i="33" s="1"/>
  <c r="P77" i="30"/>
  <c r="P37" i="34"/>
  <c r="U80" i="30"/>
  <c r="U29" i="32"/>
  <c r="T30" i="32"/>
  <c r="T81" i="30"/>
  <c r="T94" i="34"/>
  <c r="Q54" i="21"/>
  <c r="R122" i="34"/>
  <c r="R95" i="34"/>
  <c r="R69" i="34"/>
  <c r="S121" i="34"/>
  <c r="U36" i="33"/>
  <c r="U40" i="34"/>
  <c r="T37" i="33"/>
  <c r="T41" i="34"/>
  <c r="R14" i="34"/>
  <c r="R15" i="34" s="1"/>
  <c r="R18" i="34"/>
  <c r="P20" i="34"/>
  <c r="Q19" i="34"/>
  <c r="S13" i="34"/>
  <c r="U78" i="21"/>
  <c r="W44" i="21"/>
  <c r="W38" i="21" s="1"/>
  <c r="V38" i="21"/>
  <c r="U14" i="30"/>
  <c r="U36" i="30"/>
  <c r="U39" i="30" s="1"/>
  <c r="T40" i="30"/>
  <c r="T79" i="21"/>
  <c r="T41" i="21"/>
  <c r="S42" i="21"/>
  <c r="T64" i="21"/>
  <c r="S65" i="21"/>
  <c r="S90" i="21" s="1"/>
  <c r="R89" i="21"/>
  <c r="R142" i="21" s="1"/>
  <c r="R144" i="21" s="1"/>
  <c r="R164" i="21" s="1"/>
  <c r="R23" i="33" s="1"/>
  <c r="R53" i="21"/>
  <c r="R76" i="21"/>
  <c r="R77" i="21" s="1"/>
  <c r="T70" i="21"/>
  <c r="T75" i="21"/>
  <c r="U61" i="21"/>
  <c r="V67" i="21"/>
  <c r="V20" i="30" s="1"/>
  <c r="U71" i="21"/>
  <c r="V52" i="21"/>
  <c r="V47" i="21"/>
  <c r="U56" i="21"/>
  <c r="P58" i="33" l="1"/>
  <c r="Q18" i="33"/>
  <c r="P36" i="29"/>
  <c r="AH17" i="33"/>
  <c r="R24" i="33"/>
  <c r="R145" i="21"/>
  <c r="R17" i="33" s="1"/>
  <c r="AH18" i="33" s="1"/>
  <c r="V29" i="32"/>
  <c r="V80" i="30"/>
  <c r="W80" i="30"/>
  <c r="W29" i="32"/>
  <c r="U81" i="30"/>
  <c r="U30" i="32"/>
  <c r="U94" i="34"/>
  <c r="T121" i="34"/>
  <c r="S122" i="34"/>
  <c r="S95" i="34"/>
  <c r="V36" i="33"/>
  <c r="V40" i="34"/>
  <c r="T69" i="34"/>
  <c r="S69" i="34"/>
  <c r="W36" i="33"/>
  <c r="W40" i="34"/>
  <c r="U37" i="33"/>
  <c r="U41" i="34"/>
  <c r="R54" i="21"/>
  <c r="S14" i="34"/>
  <c r="S15" i="34" s="1"/>
  <c r="S18" i="34"/>
  <c r="Q27" i="34"/>
  <c r="Q20" i="34"/>
  <c r="R19" i="34"/>
  <c r="T13" i="34"/>
  <c r="V78" i="21"/>
  <c r="X44" i="21"/>
  <c r="W48" i="21"/>
  <c r="W47" i="21" s="1"/>
  <c r="V36" i="30"/>
  <c r="V39" i="30" s="1"/>
  <c r="V14" i="30"/>
  <c r="U40" i="30"/>
  <c r="U79" i="21"/>
  <c r="S53" i="21"/>
  <c r="S89" i="21"/>
  <c r="S142" i="21" s="1"/>
  <c r="S144" i="21" s="1"/>
  <c r="S164" i="21" s="1"/>
  <c r="S23" i="33" s="1"/>
  <c r="U41" i="21"/>
  <c r="T42" i="21"/>
  <c r="S76" i="21"/>
  <c r="S77" i="21" s="1"/>
  <c r="U64" i="21"/>
  <c r="T65" i="21"/>
  <c r="T90" i="21" s="1"/>
  <c r="U70" i="21"/>
  <c r="U75" i="21"/>
  <c r="V61" i="21"/>
  <c r="W67" i="21"/>
  <c r="W20" i="30" s="1"/>
  <c r="W36" i="30" s="1"/>
  <c r="W39" i="30" s="1"/>
  <c r="V71" i="21"/>
  <c r="V56" i="21"/>
  <c r="Q36" i="29" l="1"/>
  <c r="AI17" i="33"/>
  <c r="R18" i="33"/>
  <c r="S18" i="33" s="1"/>
  <c r="S24" i="33"/>
  <c r="S145" i="21"/>
  <c r="S17" i="33" s="1"/>
  <c r="AI18" i="33" s="1"/>
  <c r="V81" i="30"/>
  <c r="V30" i="32"/>
  <c r="V94" i="34"/>
  <c r="U121" i="34"/>
  <c r="V37" i="33"/>
  <c r="V41" i="34"/>
  <c r="S54" i="21"/>
  <c r="T95" i="34"/>
  <c r="T122" i="34"/>
  <c r="T14" i="34"/>
  <c r="T15" i="34" s="1"/>
  <c r="T18" i="34"/>
  <c r="T19" i="34" s="1"/>
  <c r="Q28" i="34"/>
  <c r="R27" i="34"/>
  <c r="R20" i="34"/>
  <c r="S19" i="34"/>
  <c r="U13" i="34"/>
  <c r="W78" i="21"/>
  <c r="W52" i="21"/>
  <c r="X48" i="21"/>
  <c r="X47" i="21" s="1"/>
  <c r="X38" i="21"/>
  <c r="W14" i="30"/>
  <c r="V40" i="30"/>
  <c r="W40" i="30"/>
  <c r="V79" i="21"/>
  <c r="T76" i="21"/>
  <c r="T77" i="21" s="1"/>
  <c r="V41" i="21"/>
  <c r="U42" i="21"/>
  <c r="V64" i="21"/>
  <c r="U65" i="21"/>
  <c r="U90" i="21" s="1"/>
  <c r="T53" i="21"/>
  <c r="T89" i="21"/>
  <c r="T142" i="21" s="1"/>
  <c r="T144" i="21" s="1"/>
  <c r="T164" i="21" s="1"/>
  <c r="T23" i="33" s="1"/>
  <c r="V70" i="21"/>
  <c r="V75" i="21"/>
  <c r="W61" i="21"/>
  <c r="X67" i="21"/>
  <c r="X20" i="30" s="1"/>
  <c r="X14" i="30" s="1"/>
  <c r="W71" i="21"/>
  <c r="W56" i="21"/>
  <c r="AJ17" i="33" l="1"/>
  <c r="R36" i="29"/>
  <c r="T24" i="33"/>
  <c r="T145" i="21"/>
  <c r="T17" i="33" s="1"/>
  <c r="AJ18" i="33" s="1"/>
  <c r="X80" i="30"/>
  <c r="X29" i="32"/>
  <c r="W81" i="30"/>
  <c r="W30" i="32"/>
  <c r="X69" i="34"/>
  <c r="W94" i="34"/>
  <c r="T54" i="21"/>
  <c r="W121" i="34"/>
  <c r="V121" i="34"/>
  <c r="W37" i="33"/>
  <c r="W41" i="34"/>
  <c r="X36" i="33"/>
  <c r="X40" i="34"/>
  <c r="U95" i="34"/>
  <c r="U122" i="34"/>
  <c r="V69" i="34"/>
  <c r="U69" i="34"/>
  <c r="R28" i="34"/>
  <c r="U14" i="34"/>
  <c r="U15" i="34" s="1"/>
  <c r="U18" i="34"/>
  <c r="S20" i="34"/>
  <c r="S27" i="34"/>
  <c r="T20" i="34"/>
  <c r="T27" i="34"/>
  <c r="V13" i="34"/>
  <c r="X78" i="21"/>
  <c r="X52" i="21"/>
  <c r="X36" i="30"/>
  <c r="X39" i="30" s="1"/>
  <c r="X40" i="30" s="1"/>
  <c r="W79" i="21"/>
  <c r="U53" i="21"/>
  <c r="U89" i="21"/>
  <c r="W41" i="21"/>
  <c r="V42" i="21"/>
  <c r="U76" i="21"/>
  <c r="U77" i="21" s="1"/>
  <c r="W64" i="21"/>
  <c r="V65" i="21"/>
  <c r="V90" i="21" s="1"/>
  <c r="W75" i="21"/>
  <c r="W70" i="21"/>
  <c r="X71" i="21"/>
  <c r="X61" i="21"/>
  <c r="X56" i="21"/>
  <c r="T18" i="33" l="1"/>
  <c r="X30" i="32"/>
  <c r="X81" i="30"/>
  <c r="X94" i="34"/>
  <c r="U54" i="21"/>
  <c r="X37" i="33"/>
  <c r="X41" i="34"/>
  <c r="V122" i="34"/>
  <c r="V95" i="34"/>
  <c r="V14" i="34"/>
  <c r="V15" i="34" s="1"/>
  <c r="V18" i="34"/>
  <c r="S28" i="34"/>
  <c r="T28" i="34" s="1"/>
  <c r="U19" i="34"/>
  <c r="W13" i="34"/>
  <c r="X79" i="21"/>
  <c r="V76" i="21"/>
  <c r="V77" i="21" s="1"/>
  <c r="X64" i="21"/>
  <c r="W65" i="21"/>
  <c r="W90" i="21" s="1"/>
  <c r="V53" i="21"/>
  <c r="V89" i="21"/>
  <c r="X41" i="21"/>
  <c r="W42" i="21"/>
  <c r="X75" i="21"/>
  <c r="X70" i="21"/>
  <c r="X121" i="34" l="1"/>
  <c r="V54" i="21"/>
  <c r="W122" i="34"/>
  <c r="W95" i="34"/>
  <c r="W69" i="34"/>
  <c r="U27" i="34"/>
  <c r="U20" i="34"/>
  <c r="W14" i="34"/>
  <c r="W15" i="34" s="1"/>
  <c r="W18" i="34"/>
  <c r="V19" i="34"/>
  <c r="X13" i="34"/>
  <c r="W53" i="21"/>
  <c r="W89" i="21"/>
  <c r="X42" i="21"/>
  <c r="W76" i="21"/>
  <c r="W77" i="21" s="1"/>
  <c r="X65" i="21"/>
  <c r="X90" i="21" s="1"/>
  <c r="C60" i="9"/>
  <c r="D60" i="9" s="1"/>
  <c r="W54" i="21" l="1"/>
  <c r="X122" i="34"/>
  <c r="X95" i="34"/>
  <c r="W19" i="34"/>
  <c r="U28" i="34"/>
  <c r="V20" i="34"/>
  <c r="V27" i="34"/>
  <c r="W20" i="34"/>
  <c r="W27" i="34"/>
  <c r="X14" i="34"/>
  <c r="X15" i="34" s="1"/>
  <c r="X18" i="34"/>
  <c r="X19" i="34" s="1"/>
  <c r="X76" i="21"/>
  <c r="X77" i="21" s="1"/>
  <c r="X53" i="21"/>
  <c r="X89" i="21"/>
  <c r="B7" i="9"/>
  <c r="B7" i="7"/>
  <c r="B7" i="17"/>
  <c r="B7" i="21"/>
  <c r="X54" i="21" l="1"/>
  <c r="Q99" i="34"/>
  <c r="X20" i="34"/>
  <c r="X27" i="34"/>
  <c r="V28" i="34"/>
  <c r="W28" i="34" s="1"/>
  <c r="X28" i="34" s="1"/>
  <c r="N15" i="21"/>
  <c r="C61" i="9"/>
  <c r="D61" i="9" s="1"/>
  <c r="D59" i="9"/>
  <c r="E59" i="9"/>
  <c r="F59" i="9"/>
  <c r="G59" i="9"/>
  <c r="H59" i="9"/>
  <c r="I59" i="9"/>
  <c r="J59" i="9"/>
  <c r="K59" i="9"/>
  <c r="C59" i="9"/>
  <c r="N82" i="21" l="1"/>
  <c r="N83" i="21" s="1"/>
  <c r="N106" i="21"/>
  <c r="N104" i="21"/>
  <c r="N105" i="21"/>
  <c r="Q139" i="30"/>
  <c r="N39" i="34"/>
  <c r="N42" i="34" s="1"/>
  <c r="R99" i="34"/>
  <c r="G144" i="17"/>
  <c r="H144" i="17" s="1"/>
  <c r="N33" i="21"/>
  <c r="N14" i="30"/>
  <c r="D75" i="9"/>
  <c r="N107" i="21" l="1"/>
  <c r="N97" i="21" s="1"/>
  <c r="N84" i="21"/>
  <c r="N85" i="21"/>
  <c r="N111" i="21"/>
  <c r="O111" i="21" s="1"/>
  <c r="N115" i="21"/>
  <c r="N118" i="21"/>
  <c r="N112" i="21"/>
  <c r="N116" i="21"/>
  <c r="N113" i="21"/>
  <c r="N114" i="21"/>
  <c r="N99" i="21"/>
  <c r="N98" i="21"/>
  <c r="R139" i="30"/>
  <c r="Q166" i="30"/>
  <c r="P135" i="34"/>
  <c r="P127" i="34"/>
  <c r="Q126" i="34"/>
  <c r="S99" i="34"/>
  <c r="H147" i="17"/>
  <c r="I147" i="17" s="1"/>
  <c r="I144" i="17"/>
  <c r="B7" i="29"/>
  <c r="B7" i="8"/>
  <c r="O114" i="21" l="1"/>
  <c r="O118" i="21"/>
  <c r="N117" i="21"/>
  <c r="O117" i="21" s="1"/>
  <c r="O113" i="21"/>
  <c r="O116" i="21"/>
  <c r="O112" i="21"/>
  <c r="O115" i="21"/>
  <c r="S139" i="30"/>
  <c r="R166" i="30"/>
  <c r="P136" i="34"/>
  <c r="Q127" i="34"/>
  <c r="R126" i="34"/>
  <c r="Q108" i="34"/>
  <c r="Q135" i="34"/>
  <c r="Q82" i="34"/>
  <c r="T99" i="34"/>
  <c r="S166" i="30" l="1"/>
  <c r="T139" i="30"/>
  <c r="Q109" i="34"/>
  <c r="Q136" i="34"/>
  <c r="R127" i="34"/>
  <c r="S126" i="34"/>
  <c r="R108" i="34"/>
  <c r="R135" i="34"/>
  <c r="R82" i="34"/>
  <c r="U99" i="34"/>
  <c r="T126" i="34"/>
  <c r="T166" i="30" l="1"/>
  <c r="U139" i="30"/>
  <c r="R109" i="34"/>
  <c r="R136" i="34"/>
  <c r="S127" i="34"/>
  <c r="S108" i="34"/>
  <c r="S135" i="34"/>
  <c r="S82" i="34"/>
  <c r="V99" i="34"/>
  <c r="X99" i="34"/>
  <c r="N26" i="21"/>
  <c r="X139" i="30" l="1"/>
  <c r="V139" i="30"/>
  <c r="U166" i="30"/>
  <c r="S109" i="34"/>
  <c r="S136" i="34"/>
  <c r="U126" i="34"/>
  <c r="T127" i="34"/>
  <c r="T108" i="34"/>
  <c r="T135" i="34"/>
  <c r="T82" i="34"/>
  <c r="W99" i="34"/>
  <c r="H48" i="34"/>
  <c r="V126" i="34"/>
  <c r="W139" i="30" l="1"/>
  <c r="V166" i="30"/>
  <c r="T109" i="34"/>
  <c r="T136" i="34"/>
  <c r="U127" i="34"/>
  <c r="U108" i="34"/>
  <c r="U135" i="34"/>
  <c r="U82" i="34"/>
  <c r="I48" i="34"/>
  <c r="X126" i="34"/>
  <c r="M39" i="17"/>
  <c r="G39" i="17"/>
  <c r="I37" i="17"/>
  <c r="H37" i="17"/>
  <c r="G37" i="17"/>
  <c r="D31" i="17"/>
  <c r="E31" i="17"/>
  <c r="G31" i="17"/>
  <c r="J31" i="17"/>
  <c r="M31" i="17"/>
  <c r="G32" i="17"/>
  <c r="H32" i="17"/>
  <c r="I32" i="17"/>
  <c r="J32" i="17"/>
  <c r="K32" i="17"/>
  <c r="L32" i="17"/>
  <c r="C31" i="17"/>
  <c r="K58" i="9"/>
  <c r="J58" i="9"/>
  <c r="I58" i="9"/>
  <c r="H58" i="9"/>
  <c r="G58" i="9"/>
  <c r="F58" i="9"/>
  <c r="E58" i="9"/>
  <c r="D58" i="9"/>
  <c r="C38" i="9"/>
  <c r="W166" i="30" l="1"/>
  <c r="U109" i="34"/>
  <c r="U136" i="34"/>
  <c r="W126" i="34"/>
  <c r="V127" i="34"/>
  <c r="V108" i="34"/>
  <c r="V135" i="34"/>
  <c r="V82" i="34"/>
  <c r="J48" i="34"/>
  <c r="X127" i="34"/>
  <c r="Q15" i="21"/>
  <c r="V15" i="21"/>
  <c r="R15" i="21"/>
  <c r="E25" i="21"/>
  <c r="F25" i="21"/>
  <c r="F24" i="30" s="1"/>
  <c r="F26" i="30" s="1"/>
  <c r="G25" i="21"/>
  <c r="G24" i="30" s="1"/>
  <c r="G26" i="30" s="1"/>
  <c r="H25" i="21"/>
  <c r="H24" i="30" s="1"/>
  <c r="H26" i="30" s="1"/>
  <c r="I25" i="21"/>
  <c r="I24" i="30" s="1"/>
  <c r="I26" i="30" s="1"/>
  <c r="J25" i="21"/>
  <c r="J24" i="30" s="1"/>
  <c r="J26" i="30" s="1"/>
  <c r="K25" i="21"/>
  <c r="K24" i="30" s="1"/>
  <c r="K26" i="30" s="1"/>
  <c r="L25" i="21"/>
  <c r="L24" i="30" s="1"/>
  <c r="L26" i="30" s="1"/>
  <c r="M25" i="21"/>
  <c r="Q25" i="21"/>
  <c r="R25" i="21"/>
  <c r="S25" i="21"/>
  <c r="T25" i="21"/>
  <c r="U25" i="21"/>
  <c r="V25" i="21"/>
  <c r="W25" i="21"/>
  <c r="X25" i="21"/>
  <c r="O25" i="21"/>
  <c r="V79" i="30" l="1"/>
  <c r="V82" i="30" s="1"/>
  <c r="V28" i="32"/>
  <c r="V35" i="33"/>
  <c r="V38" i="33" s="1"/>
  <c r="V39" i="34"/>
  <c r="Q79" i="30"/>
  <c r="Q82" i="30" s="1"/>
  <c r="Q28" i="32"/>
  <c r="Q35" i="33"/>
  <c r="Q38" i="33" s="1"/>
  <c r="Q39" i="34"/>
  <c r="R28" i="32"/>
  <c r="R79" i="30"/>
  <c r="R82" i="30" s="1"/>
  <c r="R35" i="33"/>
  <c r="R38" i="33" s="1"/>
  <c r="R39" i="34"/>
  <c r="X166" i="30"/>
  <c r="V109" i="34"/>
  <c r="V136" i="34"/>
  <c r="W127" i="34"/>
  <c r="W108" i="34"/>
  <c r="W135" i="34"/>
  <c r="W82" i="34"/>
  <c r="K48" i="34"/>
  <c r="X24" i="30"/>
  <c r="T24" i="30"/>
  <c r="M24" i="21"/>
  <c r="M23" i="30" s="1"/>
  <c r="M27" i="30" s="1"/>
  <c r="M24" i="30"/>
  <c r="M26" i="30" s="1"/>
  <c r="E24" i="30"/>
  <c r="E26" i="30" s="1"/>
  <c r="E24" i="21"/>
  <c r="E23" i="30" s="1"/>
  <c r="E27" i="30" s="1"/>
  <c r="W24" i="30"/>
  <c r="S24" i="30"/>
  <c r="O24" i="30"/>
  <c r="O26" i="30" s="1"/>
  <c r="R24" i="30"/>
  <c r="V24" i="30"/>
  <c r="U24" i="30"/>
  <c r="Q24" i="30"/>
  <c r="V33" i="21"/>
  <c r="V82" i="21"/>
  <c r="R33" i="21"/>
  <c r="R82" i="21"/>
  <c r="R83" i="21" s="1"/>
  <c r="R171" i="21" s="1"/>
  <c r="Q33" i="21"/>
  <c r="Q82" i="21"/>
  <c r="P18" i="21"/>
  <c r="Q18" i="21" s="1"/>
  <c r="Q17" i="21"/>
  <c r="Q20" i="21" s="1"/>
  <c r="Q19" i="30" s="1"/>
  <c r="P25" i="21"/>
  <c r="S15" i="21"/>
  <c r="W15" i="21"/>
  <c r="T15" i="21"/>
  <c r="X15" i="21"/>
  <c r="O15" i="21"/>
  <c r="U15" i="21"/>
  <c r="L29" i="21"/>
  <c r="N25" i="21"/>
  <c r="N24" i="30" s="1"/>
  <c r="E29" i="21"/>
  <c r="G29" i="21"/>
  <c r="O29" i="21"/>
  <c r="K29" i="21"/>
  <c r="H29" i="21"/>
  <c r="J29" i="21"/>
  <c r="F29" i="21"/>
  <c r="M29" i="21"/>
  <c r="I29" i="21"/>
  <c r="O79" i="30" l="1"/>
  <c r="O39" i="34"/>
  <c r="O42" i="34" s="1"/>
  <c r="O35" i="33"/>
  <c r="O28" i="32"/>
  <c r="R84" i="21"/>
  <c r="R172" i="21" s="1"/>
  <c r="R85" i="21"/>
  <c r="R173" i="21" s="1"/>
  <c r="O38" i="33"/>
  <c r="O82" i="30"/>
  <c r="Q84" i="21"/>
  <c r="Q172" i="21" s="1"/>
  <c r="Q85" i="21"/>
  <c r="Q173" i="21" s="1"/>
  <c r="V84" i="21"/>
  <c r="V85" i="21"/>
  <c r="Q83" i="21"/>
  <c r="Q171" i="21" s="1"/>
  <c r="V83" i="21"/>
  <c r="V104" i="21"/>
  <c r="V105" i="21"/>
  <c r="V106" i="21"/>
  <c r="V107" i="21"/>
  <c r="V169" i="21" s="1"/>
  <c r="X79" i="30"/>
  <c r="X82" i="30" s="1"/>
  <c r="X28" i="32"/>
  <c r="X35" i="33"/>
  <c r="X38" i="33" s="1"/>
  <c r="X39" i="34"/>
  <c r="Q31" i="32"/>
  <c r="V31" i="32"/>
  <c r="T79" i="30"/>
  <c r="T82" i="30" s="1"/>
  <c r="T28" i="32"/>
  <c r="T35" i="33"/>
  <c r="T38" i="33" s="1"/>
  <c r="T39" i="34"/>
  <c r="U28" i="32"/>
  <c r="U79" i="30"/>
  <c r="U82" i="30" s="1"/>
  <c r="U35" i="33"/>
  <c r="U38" i="33" s="1"/>
  <c r="U39" i="34"/>
  <c r="W28" i="32"/>
  <c r="W79" i="30"/>
  <c r="W82" i="30" s="1"/>
  <c r="W35" i="33"/>
  <c r="W38" i="33" s="1"/>
  <c r="W39" i="34"/>
  <c r="R93" i="34"/>
  <c r="R120" i="34"/>
  <c r="R42" i="34"/>
  <c r="Q120" i="34"/>
  <c r="Q93" i="34"/>
  <c r="Q42" i="34"/>
  <c r="V93" i="34"/>
  <c r="V120" i="34"/>
  <c r="V42" i="34"/>
  <c r="S28" i="32"/>
  <c r="S79" i="30"/>
  <c r="S82" i="30" s="1"/>
  <c r="S35" i="33"/>
  <c r="S38" i="33" s="1"/>
  <c r="S39" i="34"/>
  <c r="Q104" i="21"/>
  <c r="Q105" i="21"/>
  <c r="Q106" i="21"/>
  <c r="Q107" i="21"/>
  <c r="Q169" i="21" s="1"/>
  <c r="R106" i="21"/>
  <c r="R107" i="21"/>
  <c r="R169" i="21" s="1"/>
  <c r="R104" i="21"/>
  <c r="R105" i="21"/>
  <c r="R31" i="32"/>
  <c r="W109" i="34"/>
  <c r="W136" i="34"/>
  <c r="X108" i="34"/>
  <c r="X135" i="34"/>
  <c r="X82" i="34"/>
  <c r="L48" i="34"/>
  <c r="M28" i="30"/>
  <c r="P24" i="30"/>
  <c r="E28" i="30"/>
  <c r="P20" i="21"/>
  <c r="P19" i="30" s="1"/>
  <c r="P16" i="30" s="1"/>
  <c r="P32" i="30" s="1"/>
  <c r="P34" i="30" s="1"/>
  <c r="P41" i="30" s="1"/>
  <c r="N26" i="30"/>
  <c r="N25" i="30"/>
  <c r="X33" i="21"/>
  <c r="X82" i="21"/>
  <c r="T33" i="21"/>
  <c r="T82" i="21"/>
  <c r="T83" i="21" s="1"/>
  <c r="T171" i="21" s="1"/>
  <c r="U33" i="21"/>
  <c r="U82" i="21"/>
  <c r="U83" i="21" s="1"/>
  <c r="U171" i="21" s="1"/>
  <c r="W33" i="21"/>
  <c r="W82" i="21"/>
  <c r="S33" i="21"/>
  <c r="S82" i="21"/>
  <c r="S83" i="21" s="1"/>
  <c r="S171" i="21" s="1"/>
  <c r="Q16" i="30"/>
  <c r="Q32" i="30" s="1"/>
  <c r="Q34" i="30" s="1"/>
  <c r="Q26" i="30"/>
  <c r="P33" i="21"/>
  <c r="O33" i="21"/>
  <c r="O82" i="21"/>
  <c r="N24" i="21"/>
  <c r="N29" i="21"/>
  <c r="R17" i="21"/>
  <c r="S17" i="21" s="1"/>
  <c r="S20" i="21" s="1"/>
  <c r="S19" i="30" s="1"/>
  <c r="Q19" i="21"/>
  <c r="Q18" i="30" s="1"/>
  <c r="R18" i="21"/>
  <c r="Q29" i="21"/>
  <c r="V177" i="21" l="1"/>
  <c r="V176" i="21"/>
  <c r="V175" i="21"/>
  <c r="V151" i="21"/>
  <c r="V171" i="21"/>
  <c r="V179" i="21" s="1"/>
  <c r="V183" i="21" s="1"/>
  <c r="O31" i="32"/>
  <c r="Q176" i="21"/>
  <c r="Q175" i="21"/>
  <c r="Q179" i="21"/>
  <c r="Q180" i="21"/>
  <c r="Q181" i="21"/>
  <c r="Q177" i="21"/>
  <c r="V153" i="21"/>
  <c r="V173" i="21"/>
  <c r="V181" i="21" s="1"/>
  <c r="V185" i="21" s="1"/>
  <c r="R177" i="21"/>
  <c r="R176" i="21"/>
  <c r="R175" i="21"/>
  <c r="R179" i="21"/>
  <c r="R180" i="21"/>
  <c r="R181" i="21"/>
  <c r="V152" i="21"/>
  <c r="V172" i="21"/>
  <c r="V180" i="21" s="1"/>
  <c r="U84" i="21"/>
  <c r="U85" i="21"/>
  <c r="O84" i="21"/>
  <c r="O85" i="21"/>
  <c r="U151" i="21"/>
  <c r="S84" i="21"/>
  <c r="S172" i="21" s="1"/>
  <c r="S85" i="21"/>
  <c r="S173" i="21" s="1"/>
  <c r="X84" i="21"/>
  <c r="X85" i="21"/>
  <c r="W84" i="21"/>
  <c r="W85" i="21"/>
  <c r="T84" i="21"/>
  <c r="T172" i="21" s="1"/>
  <c r="T85" i="21"/>
  <c r="T173" i="21" s="1"/>
  <c r="X83" i="21"/>
  <c r="O83" i="21"/>
  <c r="W83" i="21"/>
  <c r="N23" i="30"/>
  <c r="N27" i="30" s="1"/>
  <c r="N28" i="30" s="1"/>
  <c r="N88" i="21"/>
  <c r="V147" i="21"/>
  <c r="V127" i="21"/>
  <c r="O105" i="21"/>
  <c r="O107" i="21"/>
  <c r="O106" i="21"/>
  <c r="O104" i="21"/>
  <c r="Q99" i="21"/>
  <c r="Q25" i="32" s="1"/>
  <c r="Q98" i="21"/>
  <c r="Q24" i="32" s="1"/>
  <c r="Q97" i="21"/>
  <c r="Q23" i="32" s="1"/>
  <c r="W31" i="32"/>
  <c r="U105" i="21"/>
  <c r="U106" i="21"/>
  <c r="U107" i="21"/>
  <c r="U169" i="21" s="1"/>
  <c r="U104" i="21"/>
  <c r="W93" i="34"/>
  <c r="W120" i="34"/>
  <c r="W42" i="34"/>
  <c r="T120" i="34"/>
  <c r="T93" i="34"/>
  <c r="T42" i="34"/>
  <c r="X31" i="32"/>
  <c r="W106" i="21"/>
  <c r="W107" i="21"/>
  <c r="W169" i="21" s="1"/>
  <c r="W104" i="21"/>
  <c r="W105" i="21"/>
  <c r="T106" i="21"/>
  <c r="T107" i="21"/>
  <c r="T169" i="21" s="1"/>
  <c r="T104" i="21"/>
  <c r="T105" i="21"/>
  <c r="S31" i="32"/>
  <c r="Q123" i="34"/>
  <c r="Q96" i="34"/>
  <c r="T31" i="32"/>
  <c r="X120" i="34"/>
  <c r="X93" i="34"/>
  <c r="X42" i="34"/>
  <c r="V98" i="21"/>
  <c r="V24" i="32" s="1"/>
  <c r="V97" i="21"/>
  <c r="V23" i="32" s="1"/>
  <c r="V99" i="21"/>
  <c r="V25" i="32" s="1"/>
  <c r="S93" i="34"/>
  <c r="S120" i="34"/>
  <c r="S42" i="34"/>
  <c r="V123" i="34"/>
  <c r="V96" i="34"/>
  <c r="U31" i="32"/>
  <c r="S107" i="21"/>
  <c r="S169" i="21" s="1"/>
  <c r="S104" i="21"/>
  <c r="S105" i="21"/>
  <c r="S106" i="21"/>
  <c r="X105" i="21"/>
  <c r="X106" i="21"/>
  <c r="X107" i="21"/>
  <c r="X169" i="21" s="1"/>
  <c r="X104" i="21"/>
  <c r="U93" i="34"/>
  <c r="U120" i="34"/>
  <c r="U42" i="34"/>
  <c r="R98" i="21"/>
  <c r="R24" i="32" s="1"/>
  <c r="R97" i="21"/>
  <c r="R23" i="32" s="1"/>
  <c r="R99" i="21"/>
  <c r="R25" i="32" s="1"/>
  <c r="R123" i="34"/>
  <c r="R96" i="34"/>
  <c r="X109" i="34"/>
  <c r="X136" i="34"/>
  <c r="M48" i="34"/>
  <c r="P25" i="30"/>
  <c r="N28" i="21"/>
  <c r="P19" i="21"/>
  <c r="P18" i="30" s="1"/>
  <c r="P29" i="21"/>
  <c r="P26" i="30"/>
  <c r="P35" i="30"/>
  <c r="P43" i="30" s="1"/>
  <c r="P42" i="30"/>
  <c r="Q35" i="30"/>
  <c r="Q43" i="30" s="1"/>
  <c r="Q42" i="30"/>
  <c r="S16" i="30"/>
  <c r="S32" i="30" s="1"/>
  <c r="S34" i="30" s="1"/>
  <c r="S26" i="30"/>
  <c r="N30" i="21"/>
  <c r="N87" i="21" s="1"/>
  <c r="T17" i="21"/>
  <c r="U17" i="21" s="1"/>
  <c r="R20" i="21"/>
  <c r="O23" i="21"/>
  <c r="O24" i="21" s="1"/>
  <c r="N27" i="21"/>
  <c r="S18" i="21"/>
  <c r="S29" i="21"/>
  <c r="V184" i="21" l="1"/>
  <c r="Q184" i="21"/>
  <c r="R185" i="21"/>
  <c r="U153" i="21"/>
  <c r="U173" i="21"/>
  <c r="T176" i="21"/>
  <c r="T175" i="21"/>
  <c r="T179" i="21"/>
  <c r="T180" i="21"/>
  <c r="T181" i="21"/>
  <c r="T177" i="21"/>
  <c r="W177" i="21"/>
  <c r="W176" i="21"/>
  <c r="W175" i="21"/>
  <c r="X153" i="21"/>
  <c r="X173" i="21"/>
  <c r="X181" i="21" s="1"/>
  <c r="X185" i="21" s="1"/>
  <c r="U152" i="21"/>
  <c r="U172" i="21"/>
  <c r="U180" i="21" s="1"/>
  <c r="R184" i="21"/>
  <c r="Q185" i="21"/>
  <c r="X176" i="21"/>
  <c r="X175" i="21"/>
  <c r="X177" i="21"/>
  <c r="W152" i="21"/>
  <c r="W172" i="21"/>
  <c r="W180" i="21" s="1"/>
  <c r="W184" i="21" s="1"/>
  <c r="R26" i="32"/>
  <c r="S177" i="21"/>
  <c r="S176" i="21"/>
  <c r="S175" i="21"/>
  <c r="S180" i="21"/>
  <c r="S184" i="21" s="1"/>
  <c r="S181" i="21"/>
  <c r="S185" i="21" s="1"/>
  <c r="S179" i="21"/>
  <c r="V26" i="32"/>
  <c r="W151" i="21"/>
  <c r="W171" i="21"/>
  <c r="W179" i="21" s="1"/>
  <c r="X152" i="21"/>
  <c r="X172" i="21"/>
  <c r="X180" i="21" s="1"/>
  <c r="X184" i="21" s="1"/>
  <c r="R183" i="21"/>
  <c r="X151" i="21"/>
  <c r="X171" i="21"/>
  <c r="X179" i="21" s="1"/>
  <c r="U176" i="21"/>
  <c r="U175" i="21"/>
  <c r="U179" i="21"/>
  <c r="U181" i="21"/>
  <c r="U177" i="21"/>
  <c r="Q26" i="32"/>
  <c r="W153" i="21"/>
  <c r="W173" i="21"/>
  <c r="W181" i="21" s="1"/>
  <c r="Q183" i="21"/>
  <c r="O23" i="30"/>
  <c r="O27" i="30" s="1"/>
  <c r="O46" i="30" s="1"/>
  <c r="O88" i="21"/>
  <c r="V148" i="21"/>
  <c r="V149" i="21"/>
  <c r="V150" i="21"/>
  <c r="V154" i="21"/>
  <c r="V155" i="21"/>
  <c r="V156" i="21"/>
  <c r="N46" i="30"/>
  <c r="W147" i="21"/>
  <c r="W127" i="21"/>
  <c r="O99" i="21"/>
  <c r="O98" i="21"/>
  <c r="O97" i="21"/>
  <c r="U147" i="21"/>
  <c r="U127" i="21"/>
  <c r="U130" i="21" s="1"/>
  <c r="U112" i="21"/>
  <c r="U116" i="21"/>
  <c r="U118" i="21"/>
  <c r="U117" i="21"/>
  <c r="U111" i="21"/>
  <c r="V111" i="21" s="1"/>
  <c r="U115" i="21"/>
  <c r="U113" i="21"/>
  <c r="U114" i="21"/>
  <c r="X147" i="21"/>
  <c r="X127" i="21"/>
  <c r="N91" i="21"/>
  <c r="V130" i="21"/>
  <c r="V128" i="21"/>
  <c r="Q48" i="30"/>
  <c r="U123" i="34"/>
  <c r="U96" i="34"/>
  <c r="T96" i="34"/>
  <c r="T123" i="34"/>
  <c r="R76" i="30"/>
  <c r="R36" i="34"/>
  <c r="R32" i="33"/>
  <c r="V35" i="34"/>
  <c r="V31" i="33"/>
  <c r="V75" i="30"/>
  <c r="R34" i="34"/>
  <c r="R74" i="30"/>
  <c r="R30" i="33"/>
  <c r="S97" i="21"/>
  <c r="S23" i="32" s="1"/>
  <c r="S26" i="32" s="1"/>
  <c r="S99" i="21"/>
  <c r="S25" i="32" s="1"/>
  <c r="S98" i="21"/>
  <c r="S24" i="32" s="1"/>
  <c r="X96" i="34"/>
  <c r="X123" i="34"/>
  <c r="Q31" i="33"/>
  <c r="Q35" i="34"/>
  <c r="Q75" i="30"/>
  <c r="X98" i="21"/>
  <c r="X24" i="32" s="1"/>
  <c r="X99" i="21"/>
  <c r="X25" i="32" s="1"/>
  <c r="X97" i="21"/>
  <c r="X23" i="32" s="1"/>
  <c r="S96" i="34"/>
  <c r="S123" i="34"/>
  <c r="V30" i="33"/>
  <c r="V34" i="34"/>
  <c r="V74" i="30"/>
  <c r="Q74" i="30"/>
  <c r="Q30" i="33"/>
  <c r="Q34" i="34"/>
  <c r="R35" i="34"/>
  <c r="R75" i="30"/>
  <c r="R31" i="33"/>
  <c r="V32" i="33"/>
  <c r="V76" i="30"/>
  <c r="V36" i="34"/>
  <c r="T97" i="21"/>
  <c r="T23" i="32" s="1"/>
  <c r="T99" i="21"/>
  <c r="T25" i="32" s="1"/>
  <c r="T98" i="21"/>
  <c r="T24" i="32" s="1"/>
  <c r="W97" i="21"/>
  <c r="W23" i="32" s="1"/>
  <c r="W26" i="32" s="1"/>
  <c r="W98" i="21"/>
  <c r="W24" i="32" s="1"/>
  <c r="W99" i="21"/>
  <c r="W25" i="32" s="1"/>
  <c r="W123" i="34"/>
  <c r="W96" i="34"/>
  <c r="U99" i="21"/>
  <c r="U25" i="32" s="1"/>
  <c r="U98" i="21"/>
  <c r="U24" i="32" s="1"/>
  <c r="U97" i="21"/>
  <c r="U23" i="32" s="1"/>
  <c r="Q36" i="34"/>
  <c r="Q76" i="30"/>
  <c r="Q32" i="33"/>
  <c r="N48" i="34"/>
  <c r="P44" i="30"/>
  <c r="O28" i="30"/>
  <c r="Q44" i="30"/>
  <c r="S35" i="30"/>
  <c r="S43" i="30" s="1"/>
  <c r="S42" i="30"/>
  <c r="R19" i="21"/>
  <c r="R18" i="30" s="1"/>
  <c r="R19" i="30"/>
  <c r="N31" i="21"/>
  <c r="T20" i="21"/>
  <c r="R29" i="21"/>
  <c r="P23" i="21"/>
  <c r="P24" i="21" s="1"/>
  <c r="P23" i="30" s="1"/>
  <c r="P27" i="30" s="1"/>
  <c r="P28" i="30" s="1"/>
  <c r="T18" i="21"/>
  <c r="S19" i="21"/>
  <c r="S18" i="30" s="1"/>
  <c r="V17" i="21"/>
  <c r="U20" i="21"/>
  <c r="U19" i="30" s="1"/>
  <c r="X183" i="21" l="1"/>
  <c r="W183" i="21"/>
  <c r="U26" i="32"/>
  <c r="V158" i="21"/>
  <c r="W185" i="21"/>
  <c r="U185" i="21"/>
  <c r="X26" i="32"/>
  <c r="O74" i="30"/>
  <c r="O34" i="34"/>
  <c r="O30" i="33"/>
  <c r="V157" i="21"/>
  <c r="U184" i="21"/>
  <c r="S183" i="21"/>
  <c r="T185" i="21"/>
  <c r="T26" i="32"/>
  <c r="U183" i="21"/>
  <c r="T184" i="21"/>
  <c r="T183" i="21"/>
  <c r="R33" i="33"/>
  <c r="Q33" i="33"/>
  <c r="V33" i="33"/>
  <c r="V159" i="21"/>
  <c r="X148" i="21"/>
  <c r="X149" i="21"/>
  <c r="X150" i="21"/>
  <c r="U148" i="21"/>
  <c r="U149" i="21"/>
  <c r="U150" i="21"/>
  <c r="W148" i="21"/>
  <c r="W149" i="21"/>
  <c r="W150" i="21"/>
  <c r="X154" i="21"/>
  <c r="X157" i="21" s="1"/>
  <c r="X155" i="21"/>
  <c r="X156" i="21"/>
  <c r="U154" i="21"/>
  <c r="U155" i="21"/>
  <c r="U158" i="21" s="1"/>
  <c r="U156" i="21"/>
  <c r="W154" i="21"/>
  <c r="W155" i="21"/>
  <c r="W156" i="21"/>
  <c r="W159" i="21" s="1"/>
  <c r="V131" i="21"/>
  <c r="V135" i="21" s="1"/>
  <c r="V117" i="21"/>
  <c r="X130" i="21"/>
  <c r="X128" i="21"/>
  <c r="V113" i="21"/>
  <c r="V118" i="21"/>
  <c r="U128" i="21"/>
  <c r="V112" i="21"/>
  <c r="O76" i="30"/>
  <c r="O32" i="33"/>
  <c r="O36" i="34"/>
  <c r="V114" i="21"/>
  <c r="W128" i="21"/>
  <c r="W130" i="21"/>
  <c r="V115" i="21"/>
  <c r="V116" i="21"/>
  <c r="O75" i="30"/>
  <c r="O31" i="33"/>
  <c r="O35" i="34"/>
  <c r="Q77" i="30"/>
  <c r="R77" i="30"/>
  <c r="V37" i="34"/>
  <c r="V77" i="30"/>
  <c r="U36" i="34"/>
  <c r="U32" i="33"/>
  <c r="U76" i="30"/>
  <c r="T30" i="33"/>
  <c r="T74" i="30"/>
  <c r="T34" i="34"/>
  <c r="S35" i="34"/>
  <c r="S75" i="30"/>
  <c r="S31" i="33"/>
  <c r="Q37" i="34"/>
  <c r="U31" i="33"/>
  <c r="U35" i="34"/>
  <c r="U75" i="30"/>
  <c r="W76" i="30"/>
  <c r="W32" i="33"/>
  <c r="W36" i="34"/>
  <c r="T32" i="33"/>
  <c r="T36" i="34"/>
  <c r="T76" i="30"/>
  <c r="X30" i="33"/>
  <c r="X74" i="30"/>
  <c r="X34" i="34"/>
  <c r="W31" i="33"/>
  <c r="W75" i="30"/>
  <c r="W35" i="34"/>
  <c r="X32" i="33"/>
  <c r="X36" i="34"/>
  <c r="X76" i="30"/>
  <c r="W34" i="34"/>
  <c r="W30" i="33"/>
  <c r="W74" i="30"/>
  <c r="X75" i="30"/>
  <c r="X31" i="33"/>
  <c r="X35" i="34"/>
  <c r="S76" i="30"/>
  <c r="S36" i="34"/>
  <c r="S32" i="33"/>
  <c r="R37" i="34"/>
  <c r="U74" i="30"/>
  <c r="U30" i="33"/>
  <c r="U34" i="34"/>
  <c r="T75" i="30"/>
  <c r="T35" i="34"/>
  <c r="T31" i="33"/>
  <c r="S34" i="34"/>
  <c r="S74" i="30"/>
  <c r="S30" i="33"/>
  <c r="P46" i="30"/>
  <c r="P49" i="30" s="1"/>
  <c r="P45" i="30"/>
  <c r="S44" i="30"/>
  <c r="U16" i="30"/>
  <c r="U32" i="30" s="1"/>
  <c r="U34" i="30" s="1"/>
  <c r="U26" i="30"/>
  <c r="T29" i="21"/>
  <c r="T19" i="30"/>
  <c r="T19" i="21"/>
  <c r="T18" i="30" s="1"/>
  <c r="R16" i="30"/>
  <c r="R32" i="30" s="1"/>
  <c r="R34" i="30" s="1"/>
  <c r="R26" i="30"/>
  <c r="N92" i="21"/>
  <c r="N93" i="21"/>
  <c r="Q23" i="21"/>
  <c r="Q24" i="21" s="1"/>
  <c r="Q23" i="30" s="1"/>
  <c r="Q27" i="30" s="1"/>
  <c r="Q46" i="30" s="1"/>
  <c r="L24" i="21"/>
  <c r="O30" i="21"/>
  <c r="O87" i="21" s="1"/>
  <c r="O91" i="21" s="1"/>
  <c r="U18" i="21"/>
  <c r="U29" i="21"/>
  <c r="W17" i="21"/>
  <c r="V20" i="21"/>
  <c r="V19" i="30" s="1"/>
  <c r="W158" i="21" l="1"/>
  <c r="U157" i="21"/>
  <c r="U159" i="21"/>
  <c r="X158" i="21"/>
  <c r="V164" i="21"/>
  <c r="V23" i="33" s="1"/>
  <c r="V20" i="33"/>
  <c r="AG22" i="33" s="1"/>
  <c r="V162" i="21"/>
  <c r="W164" i="21"/>
  <c r="W23" i="33" s="1"/>
  <c r="W20" i="33"/>
  <c r="AH22" i="33" s="1"/>
  <c r="W162" i="21"/>
  <c r="P52" i="30"/>
  <c r="P51" i="30"/>
  <c r="P50" i="30"/>
  <c r="U164" i="21"/>
  <c r="U23" i="33" s="1"/>
  <c r="U162" i="21"/>
  <c r="U20" i="33"/>
  <c r="W157" i="21"/>
  <c r="X159" i="21"/>
  <c r="Q49" i="30"/>
  <c r="O38" i="29"/>
  <c r="P58" i="30"/>
  <c r="P59" i="30" s="1"/>
  <c r="P102" i="30" s="1"/>
  <c r="AA45" i="30"/>
  <c r="AB45" i="30" s="1"/>
  <c r="AC45" i="30"/>
  <c r="N38" i="29"/>
  <c r="U33" i="33"/>
  <c r="X33" i="33"/>
  <c r="T33" i="33"/>
  <c r="S33" i="33"/>
  <c r="W33" i="33"/>
  <c r="W131" i="21"/>
  <c r="W135" i="21" s="1"/>
  <c r="U131" i="21"/>
  <c r="U135" i="21" s="1"/>
  <c r="O33" i="33"/>
  <c r="V137" i="21"/>
  <c r="V139" i="21" s="1"/>
  <c r="V14" i="32"/>
  <c r="O77" i="30"/>
  <c r="O37" i="34"/>
  <c r="S37" i="34"/>
  <c r="W37" i="34"/>
  <c r="X131" i="21"/>
  <c r="U37" i="34"/>
  <c r="U77" i="30"/>
  <c r="T37" i="34"/>
  <c r="X37" i="34"/>
  <c r="W77" i="30"/>
  <c r="T77" i="30"/>
  <c r="S77" i="30"/>
  <c r="X77" i="30"/>
  <c r="Q98" i="34"/>
  <c r="Q28" i="30"/>
  <c r="Q45" i="30" s="1"/>
  <c r="L30" i="21"/>
  <c r="L87" i="21" s="1"/>
  <c r="L23" i="30"/>
  <c r="L27" i="30" s="1"/>
  <c r="L28" i="30" s="1"/>
  <c r="R35" i="30"/>
  <c r="R43" i="30" s="1"/>
  <c r="R42" i="30"/>
  <c r="R48" i="30" s="1"/>
  <c r="U35" i="30"/>
  <c r="U43" i="30" s="1"/>
  <c r="U42" i="30"/>
  <c r="T16" i="30"/>
  <c r="T32" i="30" s="1"/>
  <c r="T34" i="30" s="1"/>
  <c r="T26" i="30"/>
  <c r="V16" i="30"/>
  <c r="V32" i="30" s="1"/>
  <c r="V34" i="30" s="1"/>
  <c r="V26" i="30"/>
  <c r="R23" i="21"/>
  <c r="R24" i="21" s="1"/>
  <c r="R23" i="30" s="1"/>
  <c r="R27" i="30" s="1"/>
  <c r="K24" i="21"/>
  <c r="O31" i="21"/>
  <c r="P30" i="21"/>
  <c r="P87" i="21" s="1"/>
  <c r="P168" i="21" s="1"/>
  <c r="P88" i="21"/>
  <c r="V18" i="21"/>
  <c r="U19" i="21"/>
  <c r="U18" i="30" s="1"/>
  <c r="V29" i="21"/>
  <c r="X17" i="21"/>
  <c r="W20" i="21"/>
  <c r="W19" i="30" s="1"/>
  <c r="U21" i="33" l="1"/>
  <c r="AF22" i="33"/>
  <c r="U36" i="29"/>
  <c r="AH21" i="33"/>
  <c r="X164" i="21"/>
  <c r="X23" i="33" s="1"/>
  <c r="X20" i="33"/>
  <c r="AI22" i="33" s="1"/>
  <c r="AJ22" i="33" s="1"/>
  <c r="X162" i="21"/>
  <c r="AF21" i="33"/>
  <c r="S36" i="29"/>
  <c r="U24" i="33"/>
  <c r="V24" i="33" s="1"/>
  <c r="W24" i="33" s="1"/>
  <c r="X24" i="33" s="1"/>
  <c r="Q64" i="30"/>
  <c r="Q50" i="30"/>
  <c r="Q51" i="30"/>
  <c r="Q52" i="30"/>
  <c r="AG21" i="33"/>
  <c r="T36" i="29"/>
  <c r="Q67" i="30"/>
  <c r="Q58" i="30"/>
  <c r="Q59" i="30" s="1"/>
  <c r="Q102" i="30" s="1"/>
  <c r="P67" i="30"/>
  <c r="P68" i="30" s="1"/>
  <c r="V17" i="32"/>
  <c r="AG19" i="32" s="1"/>
  <c r="AG20" i="32" s="1"/>
  <c r="P61" i="30"/>
  <c r="P62" i="30" s="1"/>
  <c r="P101" i="30" s="1"/>
  <c r="P128" i="30" s="1"/>
  <c r="P64" i="30"/>
  <c r="P65" i="30" s="1"/>
  <c r="P103" i="30" s="1"/>
  <c r="Q61" i="30"/>
  <c r="W14" i="32"/>
  <c r="W137" i="21"/>
  <c r="W139" i="21" s="1"/>
  <c r="P123" i="21"/>
  <c r="P124" i="21" s="1"/>
  <c r="P125" i="21" s="1"/>
  <c r="P143" i="21"/>
  <c r="O119" i="21"/>
  <c r="P92" i="21"/>
  <c r="X135" i="21"/>
  <c r="U137" i="21"/>
  <c r="U139" i="21" s="1"/>
  <c r="U14" i="32"/>
  <c r="S48" i="30"/>
  <c r="P57" i="33"/>
  <c r="Q47" i="34"/>
  <c r="Q138" i="30"/>
  <c r="R98" i="34"/>
  <c r="R28" i="30"/>
  <c r="L31" i="21"/>
  <c r="K30" i="21"/>
  <c r="K87" i="21" s="1"/>
  <c r="K23" i="30"/>
  <c r="K27" i="30" s="1"/>
  <c r="K28" i="30" s="1"/>
  <c r="T35" i="30"/>
  <c r="T43" i="30" s="1"/>
  <c r="T42" i="30"/>
  <c r="R44" i="30"/>
  <c r="R46" i="30"/>
  <c r="U44" i="30"/>
  <c r="V35" i="30"/>
  <c r="V43" i="30" s="1"/>
  <c r="V42" i="30"/>
  <c r="W16" i="30"/>
  <c r="W32" i="30" s="1"/>
  <c r="W34" i="30" s="1"/>
  <c r="W26" i="30"/>
  <c r="O93" i="21"/>
  <c r="O92" i="21"/>
  <c r="Q30" i="21"/>
  <c r="Q88" i="21"/>
  <c r="P31" i="21"/>
  <c r="J24" i="21"/>
  <c r="S23" i="21"/>
  <c r="S24" i="21" s="1"/>
  <c r="S23" i="30" s="1"/>
  <c r="S27" i="30" s="1"/>
  <c r="W18" i="21"/>
  <c r="V19" i="21"/>
  <c r="V18" i="30" s="1"/>
  <c r="W29" i="21"/>
  <c r="X20" i="21"/>
  <c r="X19" i="30" s="1"/>
  <c r="T35" i="29" l="1"/>
  <c r="V36" i="29"/>
  <c r="W36" i="29" s="1"/>
  <c r="AI21" i="33"/>
  <c r="AJ21" i="33" s="1"/>
  <c r="U59" i="33"/>
  <c r="V21" i="33"/>
  <c r="P104" i="30"/>
  <c r="Q65" i="30"/>
  <c r="Q103" i="30" s="1"/>
  <c r="AA15" i="32"/>
  <c r="AB15" i="32" s="1"/>
  <c r="W17" i="32"/>
  <c r="AH19" i="32" s="1"/>
  <c r="AH20" i="32" s="1"/>
  <c r="Q62" i="30"/>
  <c r="Q101" i="30" s="1"/>
  <c r="R49" i="30"/>
  <c r="P38" i="29"/>
  <c r="X14" i="32"/>
  <c r="X137" i="21"/>
  <c r="X139" i="21" s="1"/>
  <c r="P139" i="21"/>
  <c r="AC15" i="32"/>
  <c r="U17" i="32"/>
  <c r="T48" i="30"/>
  <c r="P85" i="33"/>
  <c r="Q57" i="33"/>
  <c r="Q85" i="33" s="1"/>
  <c r="Q165" i="30"/>
  <c r="R47" i="34"/>
  <c r="R138" i="30"/>
  <c r="Q87" i="30"/>
  <c r="Q141" i="30" s="1"/>
  <c r="Q68" i="30"/>
  <c r="Q74" i="34"/>
  <c r="Q125" i="34"/>
  <c r="P128" i="34"/>
  <c r="S98" i="34"/>
  <c r="R45" i="30"/>
  <c r="K31" i="21"/>
  <c r="J30" i="21"/>
  <c r="J31" i="21" s="1"/>
  <c r="J23" i="30"/>
  <c r="J27" i="30" s="1"/>
  <c r="J28" i="30" s="1"/>
  <c r="S28" i="30"/>
  <c r="S45" i="30" s="1"/>
  <c r="S46" i="30"/>
  <c r="V44" i="30"/>
  <c r="W35" i="30"/>
  <c r="W43" i="30" s="1"/>
  <c r="W42" i="30"/>
  <c r="T44" i="30"/>
  <c r="X16" i="30"/>
  <c r="X32" i="30" s="1"/>
  <c r="X34" i="30" s="1"/>
  <c r="X26" i="30"/>
  <c r="R30" i="21"/>
  <c r="R88" i="21"/>
  <c r="T23" i="21"/>
  <c r="T24" i="21" s="1"/>
  <c r="T23" i="30" s="1"/>
  <c r="T27" i="30" s="1"/>
  <c r="P93" i="21"/>
  <c r="P91" i="21"/>
  <c r="I24" i="21"/>
  <c r="Q87" i="21"/>
  <c r="Q168" i="21" s="1"/>
  <c r="Q31" i="21"/>
  <c r="X18" i="21"/>
  <c r="W19" i="21"/>
  <c r="W18" i="30" s="1"/>
  <c r="X29" i="21"/>
  <c r="AF19" i="32" l="1"/>
  <c r="AF20" i="32" s="1"/>
  <c r="S35" i="29"/>
  <c r="R61" i="30"/>
  <c r="R62" i="30" s="1"/>
  <c r="R101" i="30" s="1"/>
  <c r="R50" i="30"/>
  <c r="R51" i="30"/>
  <c r="R52" i="30"/>
  <c r="V59" i="33"/>
  <c r="W21" i="33"/>
  <c r="R64" i="30"/>
  <c r="R65" i="30" s="1"/>
  <c r="R103" i="30" s="1"/>
  <c r="R67" i="30"/>
  <c r="R68" i="30" s="1"/>
  <c r="R58" i="30"/>
  <c r="R59" i="30" s="1"/>
  <c r="R102" i="30" s="1"/>
  <c r="X17" i="32"/>
  <c r="AI19" i="32" s="1"/>
  <c r="AJ19" i="32" s="1"/>
  <c r="AJ20" i="32" s="1"/>
  <c r="U35" i="29"/>
  <c r="S49" i="30"/>
  <c r="Q38" i="29"/>
  <c r="AI20" i="32"/>
  <c r="P14" i="32"/>
  <c r="P17" i="32" s="1"/>
  <c r="Q143" i="21"/>
  <c r="Q123" i="21"/>
  <c r="Q124" i="21" s="1"/>
  <c r="U48" i="30"/>
  <c r="Q59" i="33"/>
  <c r="Q87" i="33" s="1"/>
  <c r="P59" i="33"/>
  <c r="P87" i="33" s="1"/>
  <c r="R57" i="33"/>
  <c r="Q128" i="34"/>
  <c r="Q101" i="34"/>
  <c r="S47" i="34"/>
  <c r="S138" i="30"/>
  <c r="Q168" i="30"/>
  <c r="R114" i="30"/>
  <c r="R165" i="30"/>
  <c r="R87" i="30"/>
  <c r="R74" i="34"/>
  <c r="R125" i="34"/>
  <c r="T98" i="34"/>
  <c r="T28" i="30"/>
  <c r="T45" i="30" s="1"/>
  <c r="I30" i="21"/>
  <c r="I31" i="21" s="1"/>
  <c r="I23" i="30"/>
  <c r="I27" i="30" s="1"/>
  <c r="I28" i="30" s="1"/>
  <c r="T46" i="30"/>
  <c r="X35" i="30"/>
  <c r="X43" i="30" s="1"/>
  <c r="X42" i="30"/>
  <c r="W44" i="30"/>
  <c r="H24" i="21"/>
  <c r="R87" i="21"/>
  <c r="R168" i="21" s="1"/>
  <c r="R31" i="21"/>
  <c r="S30" i="21"/>
  <c r="S88" i="21"/>
  <c r="Q92" i="21"/>
  <c r="Q93" i="21"/>
  <c r="Q91" i="21"/>
  <c r="U23" i="21"/>
  <c r="U24" i="21" s="1"/>
  <c r="U23" i="30" s="1"/>
  <c r="U27" i="30" s="1"/>
  <c r="X19" i="21"/>
  <c r="X18" i="30" s="1"/>
  <c r="S61" i="30" l="1"/>
  <c r="S50" i="30"/>
  <c r="S51" i="30"/>
  <c r="S52" i="30"/>
  <c r="X21" i="33"/>
  <c r="X59" i="33" s="1"/>
  <c r="W59" i="33"/>
  <c r="S62" i="30"/>
  <c r="S101" i="30" s="1"/>
  <c r="S58" i="30"/>
  <c r="S59" i="30" s="1"/>
  <c r="S102" i="30" s="1"/>
  <c r="S64" i="30"/>
  <c r="S65" i="30" s="1"/>
  <c r="S103" i="30" s="1"/>
  <c r="S67" i="30"/>
  <c r="S68" i="30" s="1"/>
  <c r="V35" i="29"/>
  <c r="T49" i="30"/>
  <c r="T67" i="30" s="1"/>
  <c r="R38" i="29"/>
  <c r="AF15" i="32"/>
  <c r="AF16" i="32"/>
  <c r="R91" i="21"/>
  <c r="R143" i="21"/>
  <c r="R123" i="21"/>
  <c r="R124" i="21" s="1"/>
  <c r="Q125" i="21"/>
  <c r="Q139" i="21"/>
  <c r="AA14" i="32"/>
  <c r="AB14" i="32" s="1"/>
  <c r="N35" i="29"/>
  <c r="AC14" i="32"/>
  <c r="P15" i="32"/>
  <c r="V48" i="30"/>
  <c r="R141" i="30"/>
  <c r="Q58" i="33"/>
  <c r="P60" i="33"/>
  <c r="P88" i="33" s="1"/>
  <c r="P86" i="33"/>
  <c r="R85" i="33"/>
  <c r="S57" i="33"/>
  <c r="R59" i="33"/>
  <c r="R87" i="33" s="1"/>
  <c r="R128" i="34"/>
  <c r="R101" i="34"/>
  <c r="S87" i="30"/>
  <c r="T47" i="34"/>
  <c r="T138" i="30"/>
  <c r="R168" i="30"/>
  <c r="S165" i="30"/>
  <c r="S114" i="30"/>
  <c r="S74" i="34"/>
  <c r="S125" i="34"/>
  <c r="U98" i="34"/>
  <c r="U28" i="30"/>
  <c r="U45" i="30" s="1"/>
  <c r="U46" i="30"/>
  <c r="H30" i="21"/>
  <c r="H31" i="21" s="1"/>
  <c r="H23" i="30"/>
  <c r="H27" i="30" s="1"/>
  <c r="H28" i="30" s="1"/>
  <c r="X44" i="30"/>
  <c r="S87" i="21"/>
  <c r="S168" i="21" s="1"/>
  <c r="S31" i="21"/>
  <c r="G24" i="21"/>
  <c r="T30" i="21"/>
  <c r="T88" i="21"/>
  <c r="R92" i="21"/>
  <c r="R93" i="21"/>
  <c r="V23" i="21"/>
  <c r="V24" i="21" s="1"/>
  <c r="V23" i="30" s="1"/>
  <c r="V27" i="30" s="1"/>
  <c r="T64" i="30" l="1"/>
  <c r="T52" i="30"/>
  <c r="T50" i="30"/>
  <c r="T51" i="30"/>
  <c r="T58" i="30"/>
  <c r="T59" i="30" s="1"/>
  <c r="T102" i="30" s="1"/>
  <c r="T61" i="30"/>
  <c r="T62" i="30" s="1"/>
  <c r="T101" i="30" s="1"/>
  <c r="T65" i="30"/>
  <c r="T103" i="30" s="1"/>
  <c r="U49" i="30"/>
  <c r="U58" i="30" s="1"/>
  <c r="S38" i="29"/>
  <c r="P79" i="32"/>
  <c r="P51" i="32"/>
  <c r="Q14" i="32"/>
  <c r="P18" i="32"/>
  <c r="S143" i="21"/>
  <c r="S123" i="21"/>
  <c r="S124" i="21" s="1"/>
  <c r="R125" i="21"/>
  <c r="R14" i="32" s="1"/>
  <c r="R139" i="21"/>
  <c r="U67" i="30"/>
  <c r="W48" i="30"/>
  <c r="S85" i="33"/>
  <c r="S59" i="33"/>
  <c r="S87" i="33" s="1"/>
  <c r="T57" i="33"/>
  <c r="Q60" i="33"/>
  <c r="Q88" i="33" s="1"/>
  <c r="Q86" i="33"/>
  <c r="R58" i="33"/>
  <c r="S141" i="30"/>
  <c r="S128" i="34"/>
  <c r="S101" i="34"/>
  <c r="T87" i="30"/>
  <c r="U47" i="34"/>
  <c r="U138" i="30"/>
  <c r="S168" i="30"/>
  <c r="T165" i="30"/>
  <c r="T114" i="30"/>
  <c r="T74" i="34"/>
  <c r="T125" i="34"/>
  <c r="V98" i="34"/>
  <c r="X98" i="34"/>
  <c r="T68" i="30"/>
  <c r="V28" i="30"/>
  <c r="V45" i="30" s="1"/>
  <c r="V46" i="30"/>
  <c r="G30" i="21"/>
  <c r="G31" i="21" s="1"/>
  <c r="G23" i="30"/>
  <c r="G27" i="30" s="1"/>
  <c r="G28" i="30" s="1"/>
  <c r="W23" i="21"/>
  <c r="W24" i="21" s="1"/>
  <c r="W23" i="30" s="1"/>
  <c r="W27" i="30" s="1"/>
  <c r="T87" i="21"/>
  <c r="T168" i="21" s="1"/>
  <c r="T31" i="21"/>
  <c r="S92" i="21"/>
  <c r="S93" i="21"/>
  <c r="S91" i="21"/>
  <c r="E30" i="21"/>
  <c r="E31" i="21" s="1"/>
  <c r="F24" i="21"/>
  <c r="U30" i="21"/>
  <c r="U88" i="21"/>
  <c r="U64" i="30" l="1"/>
  <c r="U61" i="30"/>
  <c r="U50" i="30"/>
  <c r="U51" i="30"/>
  <c r="U52" i="30"/>
  <c r="U62" i="30"/>
  <c r="U101" i="30" s="1"/>
  <c r="V49" i="30"/>
  <c r="T38" i="29"/>
  <c r="Q17" i="32"/>
  <c r="O35" i="29" s="1"/>
  <c r="AG15" i="32"/>
  <c r="AG16" i="32"/>
  <c r="R17" i="32"/>
  <c r="AH15" i="32"/>
  <c r="AH16" i="32"/>
  <c r="Q15" i="32"/>
  <c r="T91" i="21"/>
  <c r="T143" i="21"/>
  <c r="T123" i="21"/>
  <c r="T124" i="21" s="1"/>
  <c r="S125" i="21"/>
  <c r="S14" i="32" s="1"/>
  <c r="S139" i="21"/>
  <c r="X48" i="30"/>
  <c r="R86" i="33"/>
  <c r="R60" i="33"/>
  <c r="R88" i="33" s="1"/>
  <c r="S58" i="33"/>
  <c r="T59" i="33"/>
  <c r="T87" i="33" s="1"/>
  <c r="T85" i="33"/>
  <c r="T141" i="30"/>
  <c r="T128" i="34"/>
  <c r="T101" i="34"/>
  <c r="X47" i="34"/>
  <c r="X138" i="30"/>
  <c r="V47" i="34"/>
  <c r="V138" i="30"/>
  <c r="T168" i="30"/>
  <c r="U87" i="30"/>
  <c r="U165" i="30"/>
  <c r="U114" i="30"/>
  <c r="U74" i="34"/>
  <c r="U125" i="34"/>
  <c r="W98" i="34"/>
  <c r="U68" i="30"/>
  <c r="U59" i="30"/>
  <c r="U102" i="30" s="1"/>
  <c r="U65" i="30"/>
  <c r="U103" i="30" s="1"/>
  <c r="F30" i="21"/>
  <c r="F31" i="21" s="1"/>
  <c r="F23" i="30"/>
  <c r="F27" i="30" s="1"/>
  <c r="F28" i="30" s="1"/>
  <c r="W46" i="30"/>
  <c r="W28" i="30"/>
  <c r="W45" i="30" s="1"/>
  <c r="X23" i="21"/>
  <c r="X24" i="21" s="1"/>
  <c r="X23" i="30" s="1"/>
  <c r="X27" i="30" s="1"/>
  <c r="T93" i="21"/>
  <c r="T92" i="21"/>
  <c r="U87" i="21"/>
  <c r="U31" i="21"/>
  <c r="V30" i="21"/>
  <c r="V88" i="21"/>
  <c r="U160" i="21" l="1"/>
  <c r="U91" i="21"/>
  <c r="U168" i="21"/>
  <c r="V58" i="30"/>
  <c r="V50" i="30"/>
  <c r="V51" i="30"/>
  <c r="V52" i="30"/>
  <c r="V64" i="30"/>
  <c r="V65" i="30" s="1"/>
  <c r="V103" i="30" s="1"/>
  <c r="V67" i="30"/>
  <c r="V68" i="30" s="1"/>
  <c r="V61" i="30"/>
  <c r="V62" i="30" s="1"/>
  <c r="V101" i="30" s="1"/>
  <c r="P35" i="29"/>
  <c r="Q18" i="32"/>
  <c r="R18" i="32" s="1"/>
  <c r="W49" i="30"/>
  <c r="U38" i="29"/>
  <c r="S17" i="32"/>
  <c r="AI15" i="32"/>
  <c r="AI16" i="32"/>
  <c r="R15" i="32"/>
  <c r="Q79" i="32"/>
  <c r="Q51" i="32"/>
  <c r="U132" i="21"/>
  <c r="U92" i="21"/>
  <c r="T125" i="21"/>
  <c r="T139" i="21"/>
  <c r="U141" i="30"/>
  <c r="S86" i="33"/>
  <c r="S60" i="33"/>
  <c r="S88" i="33" s="1"/>
  <c r="T58" i="33"/>
  <c r="T60" i="33" s="1"/>
  <c r="U60" i="33" s="1"/>
  <c r="V60" i="33" s="1"/>
  <c r="W60" i="33" s="1"/>
  <c r="X60" i="33" s="1"/>
  <c r="U128" i="34"/>
  <c r="U101" i="34"/>
  <c r="V87" i="30"/>
  <c r="V165" i="30"/>
  <c r="V114" i="30"/>
  <c r="U168" i="30"/>
  <c r="W47" i="34"/>
  <c r="W138" i="30"/>
  <c r="X87" i="30"/>
  <c r="V74" i="34"/>
  <c r="V125" i="34"/>
  <c r="V59" i="30"/>
  <c r="V102" i="30" s="1"/>
  <c r="X28" i="30"/>
  <c r="X45" i="30" s="1"/>
  <c r="X46" i="30"/>
  <c r="V87" i="21"/>
  <c r="V31" i="21"/>
  <c r="U93" i="21"/>
  <c r="W30" i="21"/>
  <c r="W88" i="21"/>
  <c r="U133" i="21" l="1"/>
  <c r="U134" i="21" s="1"/>
  <c r="W61" i="30"/>
  <c r="W50" i="30"/>
  <c r="W51" i="30"/>
  <c r="W52" i="30"/>
  <c r="V160" i="21"/>
  <c r="V168" i="21"/>
  <c r="W62" i="30"/>
  <c r="W101" i="30" s="1"/>
  <c r="W58" i="30"/>
  <c r="W59" i="30" s="1"/>
  <c r="W102" i="30" s="1"/>
  <c r="W64" i="30"/>
  <c r="W65" i="30" s="1"/>
  <c r="W103" i="30" s="1"/>
  <c r="W67" i="30"/>
  <c r="W68" i="30" s="1"/>
  <c r="Q35" i="29"/>
  <c r="X49" i="30"/>
  <c r="V38" i="29"/>
  <c r="W38" i="29" s="1"/>
  <c r="R79" i="32"/>
  <c r="R51" i="32"/>
  <c r="S15" i="32"/>
  <c r="V119" i="21"/>
  <c r="V132" i="21"/>
  <c r="V133" i="21" s="1"/>
  <c r="V134" i="21" s="1"/>
  <c r="T14" i="32"/>
  <c r="T126" i="21"/>
  <c r="S18" i="32"/>
  <c r="V141" i="30"/>
  <c r="T86" i="33"/>
  <c r="T88" i="33"/>
  <c r="V128" i="34"/>
  <c r="V101" i="34"/>
  <c r="W165" i="30"/>
  <c r="W114" i="30"/>
  <c r="W87" i="30"/>
  <c r="V168" i="30"/>
  <c r="X74" i="34"/>
  <c r="X125" i="34"/>
  <c r="W74" i="34"/>
  <c r="W125" i="34"/>
  <c r="V91" i="21"/>
  <c r="W87" i="21"/>
  <c r="W168" i="21" s="1"/>
  <c r="W31" i="21"/>
  <c r="V93" i="21"/>
  <c r="V92" i="21"/>
  <c r="X30" i="21"/>
  <c r="X88" i="21"/>
  <c r="X58" i="30" l="1"/>
  <c r="X51" i="30"/>
  <c r="X50" i="30"/>
  <c r="X52" i="30"/>
  <c r="X61" i="30"/>
  <c r="X62" i="30" s="1"/>
  <c r="X101" i="30" s="1"/>
  <c r="X64" i="30"/>
  <c r="X65" i="30" s="1"/>
  <c r="X103" i="30" s="1"/>
  <c r="X67" i="30"/>
  <c r="X68" i="30" s="1"/>
  <c r="AJ16" i="32"/>
  <c r="AJ15" i="32"/>
  <c r="S79" i="32"/>
  <c r="S51" i="32"/>
  <c r="W132" i="21"/>
  <c r="W133" i="21" s="1"/>
  <c r="W134" i="21" s="1"/>
  <c r="W160" i="21"/>
  <c r="T17" i="32"/>
  <c r="T18" i="32" s="1"/>
  <c r="T15" i="32"/>
  <c r="W141" i="30"/>
  <c r="W128" i="34"/>
  <c r="W101" i="34"/>
  <c r="X128" i="34"/>
  <c r="X101" i="34"/>
  <c r="X114" i="30"/>
  <c r="X141" i="30" s="1"/>
  <c r="X165" i="30"/>
  <c r="W168" i="30"/>
  <c r="X59" i="30"/>
  <c r="X102" i="30" s="1"/>
  <c r="X87" i="21"/>
  <c r="X168" i="21" s="1"/>
  <c r="X31" i="21"/>
  <c r="W93" i="21"/>
  <c r="W92" i="21"/>
  <c r="W91" i="21"/>
  <c r="D67" i="9"/>
  <c r="U15" i="32" l="1"/>
  <c r="T79" i="32"/>
  <c r="T51" i="32"/>
  <c r="R35" i="29"/>
  <c r="W35" i="29" s="1"/>
  <c r="X132" i="21"/>
  <c r="X133" i="21" s="1"/>
  <c r="X134" i="21" s="1"/>
  <c r="X160" i="21"/>
  <c r="U18" i="32"/>
  <c r="X168" i="30"/>
  <c r="X93" i="21"/>
  <c r="X92" i="21"/>
  <c r="X91" i="21"/>
  <c r="D79" i="9"/>
  <c r="D38" i="9"/>
  <c r="E38" i="9"/>
  <c r="F38" i="9"/>
  <c r="G38" i="9"/>
  <c r="H38" i="9"/>
  <c r="I38" i="9"/>
  <c r="J38" i="9"/>
  <c r="K38" i="9"/>
  <c r="V15" i="32" l="1"/>
  <c r="U79" i="32"/>
  <c r="U51" i="32"/>
  <c r="V18" i="32"/>
  <c r="E73" i="9"/>
  <c r="E77" i="9"/>
  <c r="E66" i="9"/>
  <c r="E64" i="9"/>
  <c r="E68" i="9"/>
  <c r="E76" i="9"/>
  <c r="E69" i="9"/>
  <c r="E70" i="9"/>
  <c r="E74" i="9"/>
  <c r="E78" i="9"/>
  <c r="E71" i="9"/>
  <c r="E79" i="9"/>
  <c r="E72" i="9"/>
  <c r="E65" i="9"/>
  <c r="E75" i="9"/>
  <c r="E67" i="9"/>
  <c r="W15" i="32" l="1"/>
  <c r="V79" i="32"/>
  <c r="V51" i="32"/>
  <c r="W18" i="32"/>
  <c r="X15" i="32" l="1"/>
  <c r="W79" i="32"/>
  <c r="W51" i="32"/>
  <c r="X18" i="32"/>
  <c r="X79" i="32" l="1"/>
  <c r="X51" i="32"/>
  <c r="M30" i="21"/>
  <c r="M31" i="21" l="1"/>
  <c r="M87" i="21"/>
  <c r="P130" i="30" l="1"/>
  <c r="P129" i="30"/>
  <c r="P131" i="30" l="1"/>
  <c r="Q129" i="30"/>
  <c r="Q130" i="30"/>
  <c r="R130" i="30"/>
  <c r="R129" i="30"/>
  <c r="R128" i="30" l="1"/>
  <c r="R104" i="30"/>
  <c r="R131" i="30" s="1"/>
  <c r="Q128" i="30"/>
  <c r="Q104" i="30"/>
  <c r="Q131" i="30" s="1"/>
  <c r="S130" i="30" l="1"/>
  <c r="S129" i="30"/>
  <c r="S128" i="30" l="1"/>
  <c r="S104" i="30"/>
  <c r="S131" i="30" s="1"/>
  <c r="T130" i="30"/>
  <c r="T129" i="30"/>
  <c r="U130" i="30" l="1"/>
  <c r="U129" i="30"/>
  <c r="T128" i="30"/>
  <c r="T104" i="30"/>
  <c r="T131" i="30" s="1"/>
  <c r="V130" i="30"/>
  <c r="V129" i="30"/>
  <c r="V128" i="30" l="1"/>
  <c r="V104" i="30"/>
  <c r="V131" i="30" s="1"/>
  <c r="U128" i="30"/>
  <c r="U104" i="30"/>
  <c r="U131" i="30" s="1"/>
  <c r="W130" i="30" l="1"/>
  <c r="W129" i="30"/>
  <c r="X130" i="30" l="1"/>
  <c r="X129" i="30"/>
  <c r="W104" i="30"/>
  <c r="W131" i="30" s="1"/>
  <c r="W128" i="30"/>
  <c r="X128" i="30" l="1"/>
  <c r="X104" i="30"/>
  <c r="X131" i="30" s="1"/>
  <c r="P177" i="30" l="1"/>
  <c r="P178" i="30" s="1"/>
  <c r="Q177" i="30" l="1"/>
  <c r="Q178" i="30" s="1"/>
  <c r="R177" i="30" l="1"/>
  <c r="R178" i="30" s="1"/>
  <c r="S177" i="30" l="1"/>
  <c r="S178" i="30" s="1"/>
  <c r="T177" i="30" l="1"/>
  <c r="T178" i="30" s="1"/>
  <c r="U177" i="30" l="1"/>
  <c r="U178" i="30" s="1"/>
  <c r="V177" i="30" l="1"/>
  <c r="V178" i="30" s="1"/>
  <c r="W177" i="30" l="1"/>
  <c r="W178" i="30" s="1"/>
  <c r="X177" i="30"/>
  <c r="X178" i="30" l="1"/>
  <c r="P114" i="30"/>
  <c r="P168" i="30" s="1"/>
  <c r="P141" i="30" l="1"/>
  <c r="Q102" i="34" l="1"/>
  <c r="Q142" i="30"/>
  <c r="R102" i="34" l="1"/>
  <c r="R142" i="30"/>
  <c r="S102" i="34" l="1"/>
  <c r="S142" i="30"/>
  <c r="T102" i="34" l="1"/>
  <c r="T142" i="30"/>
  <c r="U102" i="34" l="1"/>
  <c r="U142" i="30"/>
  <c r="V102" i="34" l="1"/>
  <c r="V142" i="30"/>
  <c r="W102" i="34" l="1"/>
  <c r="W142" i="30"/>
  <c r="X102" i="34" l="1"/>
  <c r="X142" i="30"/>
  <c r="P175" i="30" l="1"/>
  <c r="Q148" i="30" l="1"/>
  <c r="Q175" i="30"/>
  <c r="S175" i="30" l="1"/>
  <c r="R148" i="30"/>
  <c r="P108" i="30"/>
  <c r="P135" i="30" l="1"/>
  <c r="P162" i="30"/>
  <c r="S148" i="30"/>
  <c r="R175" i="30"/>
  <c r="T148" i="30"/>
  <c r="P146" i="30"/>
  <c r="P173" i="30"/>
  <c r="P120" i="30" l="1"/>
  <c r="P122" i="30" s="1"/>
  <c r="P149" i="30" s="1"/>
  <c r="P107" i="30"/>
  <c r="U175" i="30"/>
  <c r="T175" i="30"/>
  <c r="Q108" i="30"/>
  <c r="R106" i="30"/>
  <c r="R107" i="30"/>
  <c r="Q107" i="30"/>
  <c r="S108" i="30"/>
  <c r="R108" i="30"/>
  <c r="S107" i="30"/>
  <c r="P172" i="30"/>
  <c r="P145" i="30"/>
  <c r="P147" i="30" s="1"/>
  <c r="S106" i="30"/>
  <c r="Q106" i="30"/>
  <c r="S134" i="30" l="1"/>
  <c r="S161" i="30"/>
  <c r="P174" i="30"/>
  <c r="S133" i="30"/>
  <c r="S160" i="30"/>
  <c r="S109" i="30"/>
  <c r="S163" i="30" s="1"/>
  <c r="R133" i="30"/>
  <c r="R160" i="30"/>
  <c r="R109" i="30"/>
  <c r="R163" i="30" s="1"/>
  <c r="S135" i="30"/>
  <c r="S162" i="30"/>
  <c r="Q135" i="30"/>
  <c r="Q162" i="30"/>
  <c r="Q133" i="30"/>
  <c r="Q160" i="30"/>
  <c r="Q109" i="30"/>
  <c r="Q163" i="30" s="1"/>
  <c r="R134" i="30"/>
  <c r="R161" i="30"/>
  <c r="R135" i="30"/>
  <c r="R162" i="30"/>
  <c r="Q134" i="30"/>
  <c r="Q161" i="30"/>
  <c r="P134" i="30"/>
  <c r="P136" i="30" s="1"/>
  <c r="P161" i="30"/>
  <c r="P109" i="30"/>
  <c r="P163" i="30" s="1"/>
  <c r="U148" i="30"/>
  <c r="V175" i="30"/>
  <c r="T106" i="30"/>
  <c r="R171" i="30"/>
  <c r="R120" i="30"/>
  <c r="R144" i="30"/>
  <c r="Q171" i="30"/>
  <c r="Q120" i="30"/>
  <c r="Q144" i="30"/>
  <c r="S145" i="30"/>
  <c r="S172" i="30"/>
  <c r="R172" i="30"/>
  <c r="R145" i="30"/>
  <c r="S171" i="30"/>
  <c r="S120" i="30"/>
  <c r="S144" i="30"/>
  <c r="T108" i="30"/>
  <c r="T107" i="30"/>
  <c r="S146" i="30"/>
  <c r="S173" i="30"/>
  <c r="R146" i="30"/>
  <c r="R173" i="30"/>
  <c r="Q172" i="30"/>
  <c r="Q145" i="30"/>
  <c r="Q173" i="30"/>
  <c r="Q146" i="30"/>
  <c r="S136" i="30" l="1"/>
  <c r="T134" i="30"/>
  <c r="T161" i="30"/>
  <c r="T133" i="30"/>
  <c r="T109" i="30"/>
  <c r="T163" i="30" s="1"/>
  <c r="T160" i="30"/>
  <c r="R136" i="30"/>
  <c r="Q136" i="30"/>
  <c r="T135" i="30"/>
  <c r="T162" i="30"/>
  <c r="V148" i="30"/>
  <c r="S174" i="30"/>
  <c r="S122" i="30"/>
  <c r="W148" i="30"/>
  <c r="W175" i="30"/>
  <c r="U106" i="30"/>
  <c r="T173" i="30"/>
  <c r="T146" i="30"/>
  <c r="Q147" i="30"/>
  <c r="R174" i="30"/>
  <c r="R122" i="30"/>
  <c r="U108" i="30"/>
  <c r="U107" i="30"/>
  <c r="Q174" i="30"/>
  <c r="Q122" i="30"/>
  <c r="P150" i="30"/>
  <c r="P176" i="30"/>
  <c r="T145" i="30"/>
  <c r="T172" i="30"/>
  <c r="S147" i="30"/>
  <c r="R147" i="30"/>
  <c r="T171" i="30"/>
  <c r="T120" i="30"/>
  <c r="T144" i="30"/>
  <c r="C30" i="29" l="1"/>
  <c r="N30" i="29" s="1"/>
  <c r="P151" i="30"/>
  <c r="U133" i="30"/>
  <c r="U109" i="30"/>
  <c r="U163" i="30" s="1"/>
  <c r="U160" i="30"/>
  <c r="T136" i="30"/>
  <c r="U135" i="30"/>
  <c r="U162" i="30"/>
  <c r="U134" i="30"/>
  <c r="U161" i="30"/>
  <c r="X175" i="30"/>
  <c r="X148" i="30"/>
  <c r="R149" i="30"/>
  <c r="R150" i="30" s="1"/>
  <c r="E30" i="29" s="1"/>
  <c r="R176" i="30"/>
  <c r="V106" i="30"/>
  <c r="V108" i="30"/>
  <c r="V107" i="30"/>
  <c r="U146" i="30"/>
  <c r="U173" i="30"/>
  <c r="U144" i="30"/>
  <c r="U171" i="30"/>
  <c r="U120" i="30"/>
  <c r="S149" i="30"/>
  <c r="S150" i="30" s="1"/>
  <c r="F30" i="29" s="1"/>
  <c r="S176" i="30"/>
  <c r="T147" i="30"/>
  <c r="T174" i="30"/>
  <c r="T122" i="30"/>
  <c r="Q149" i="30"/>
  <c r="Q150" i="30" s="1"/>
  <c r="Q176" i="30"/>
  <c r="U145" i="30"/>
  <c r="U172" i="30"/>
  <c r="Q30" i="29" l="1"/>
  <c r="Q151" i="30"/>
  <c r="D30" i="29"/>
  <c r="O30" i="29" s="1"/>
  <c r="V134" i="30"/>
  <c r="V161" i="30"/>
  <c r="V135" i="30"/>
  <c r="V162" i="30"/>
  <c r="V133" i="30"/>
  <c r="V160" i="30"/>
  <c r="V109" i="30"/>
  <c r="V163" i="30" s="1"/>
  <c r="U136" i="30"/>
  <c r="V146" i="30"/>
  <c r="V173" i="30"/>
  <c r="W108" i="30"/>
  <c r="S151" i="30"/>
  <c r="W107" i="30"/>
  <c r="R151" i="30"/>
  <c r="U147" i="30"/>
  <c r="V172" i="30"/>
  <c r="V145" i="30"/>
  <c r="W106" i="30"/>
  <c r="T176" i="30"/>
  <c r="T149" i="30"/>
  <c r="T150" i="30" s="1"/>
  <c r="U174" i="30"/>
  <c r="U122" i="30"/>
  <c r="V171" i="30"/>
  <c r="V120" i="30"/>
  <c r="V144" i="30"/>
  <c r="P30" i="29" l="1"/>
  <c r="T151" i="30"/>
  <c r="G30" i="29"/>
  <c r="R30" i="29" s="1"/>
  <c r="V136" i="30"/>
  <c r="W135" i="30"/>
  <c r="W162" i="30"/>
  <c r="W134" i="30"/>
  <c r="W161" i="30"/>
  <c r="W133" i="30"/>
  <c r="W109" i="30"/>
  <c r="W163" i="30" s="1"/>
  <c r="W160" i="30"/>
  <c r="V147" i="30"/>
  <c r="V174" i="30"/>
  <c r="V122" i="30"/>
  <c r="U176" i="30"/>
  <c r="U149" i="30"/>
  <c r="U150" i="30" s="1"/>
  <c r="X106" i="30"/>
  <c r="W173" i="30"/>
  <c r="W146" i="30"/>
  <c r="X107" i="30"/>
  <c r="X108" i="30"/>
  <c r="W171" i="30"/>
  <c r="W144" i="30"/>
  <c r="W120" i="30"/>
  <c r="W172" i="30"/>
  <c r="W145" i="30"/>
  <c r="U151" i="30" l="1"/>
  <c r="H30" i="29"/>
  <c r="S30" i="29" s="1"/>
  <c r="W136" i="30"/>
  <c r="X133" i="30"/>
  <c r="X109" i="30"/>
  <c r="X163" i="30" s="1"/>
  <c r="X160" i="30"/>
  <c r="X135" i="30"/>
  <c r="X162" i="30"/>
  <c r="X134" i="30"/>
  <c r="X161" i="30"/>
  <c r="W147" i="30"/>
  <c r="V149" i="30"/>
  <c r="V150" i="30" s="1"/>
  <c r="V176" i="30"/>
  <c r="X146" i="30"/>
  <c r="X173" i="30"/>
  <c r="X120" i="30"/>
  <c r="X171" i="30"/>
  <c r="X144" i="30"/>
  <c r="X172" i="30"/>
  <c r="X145" i="30"/>
  <c r="W174" i="30"/>
  <c r="W122" i="30"/>
  <c r="V151" i="30" l="1"/>
  <c r="I30" i="29"/>
  <c r="T30" i="29" s="1"/>
  <c r="X136" i="30"/>
  <c r="X147" i="30"/>
  <c r="W149" i="30"/>
  <c r="W150" i="30" s="1"/>
  <c r="W176" i="30"/>
  <c r="X174" i="30"/>
  <c r="X122" i="30"/>
  <c r="W151" i="30" l="1"/>
  <c r="J30" i="29"/>
  <c r="U30" i="29" s="1"/>
  <c r="X149" i="30"/>
  <c r="X150" i="30" s="1"/>
  <c r="X176" i="30"/>
  <c r="X151" i="30" l="1"/>
  <c r="K30" i="29"/>
  <c r="V30" i="29" s="1"/>
  <c r="W30" i="29" s="1"/>
  <c r="P134" i="33"/>
  <c r="P107" i="33"/>
  <c r="C28" i="29" s="1"/>
  <c r="Q107" i="33"/>
  <c r="D28" i="29" s="1"/>
  <c r="P108" i="33" l="1"/>
  <c r="N28" i="29"/>
  <c r="Q108" i="33"/>
  <c r="Q134" i="33"/>
  <c r="O28" i="29" l="1"/>
  <c r="R107" i="33"/>
  <c r="R134" i="33"/>
  <c r="S107" i="33"/>
  <c r="F28" i="29" s="1"/>
  <c r="R108" i="33" l="1"/>
  <c r="E28" i="29"/>
  <c r="P28" i="29" s="1"/>
  <c r="S108" i="33"/>
  <c r="S134" i="33"/>
  <c r="Q28" i="29" l="1"/>
  <c r="T134" i="33"/>
  <c r="T107" i="33"/>
  <c r="T108" i="33" l="1"/>
  <c r="G28" i="29"/>
  <c r="R28" i="29" s="1"/>
  <c r="U134" i="33"/>
  <c r="U107" i="33"/>
  <c r="U108" i="33" l="1"/>
  <c r="H28" i="29"/>
  <c r="S28" i="29" s="1"/>
  <c r="W107" i="33"/>
  <c r="J28" i="29" s="1"/>
  <c r="W134" i="33"/>
  <c r="V107" i="33"/>
  <c r="V134" i="33"/>
  <c r="V108" i="33" l="1"/>
  <c r="I28" i="29"/>
  <c r="T28" i="29" s="1"/>
  <c r="X107" i="33"/>
  <c r="X134" i="33"/>
  <c r="W108" i="33"/>
  <c r="U28" i="29" l="1"/>
  <c r="X108" i="33"/>
  <c r="K28" i="29"/>
  <c r="V28" i="29" s="1"/>
  <c r="O49" i="33"/>
  <c r="O51" i="33" s="1"/>
  <c r="W28" i="29" l="1"/>
  <c r="P49" i="33"/>
  <c r="P97" i="33"/>
  <c r="P124" i="33"/>
  <c r="P96" i="33"/>
  <c r="P123" i="33"/>
  <c r="P63" i="33" l="1"/>
  <c r="P91" i="33" s="1"/>
  <c r="P101" i="33"/>
  <c r="Q97" i="33"/>
  <c r="Q124" i="33"/>
  <c r="Q49" i="33"/>
  <c r="Q64" i="33"/>
  <c r="Q92" i="33" s="1"/>
  <c r="R63" i="33"/>
  <c r="R91" i="33" s="1"/>
  <c r="Q130" i="33" l="1"/>
  <c r="Q103" i="33"/>
  <c r="P129" i="33"/>
  <c r="P102" i="33"/>
  <c r="R129" i="33"/>
  <c r="R102" i="33"/>
  <c r="P65" i="33"/>
  <c r="P118" i="33"/>
  <c r="S123" i="33"/>
  <c r="S96" i="33"/>
  <c r="R49" i="33"/>
  <c r="Q123" i="33"/>
  <c r="Q96" i="33"/>
  <c r="P51" i="33"/>
  <c r="R124" i="33"/>
  <c r="R97" i="33"/>
  <c r="R96" i="33"/>
  <c r="R123" i="33"/>
  <c r="P105" i="33"/>
  <c r="P132" i="33"/>
  <c r="Q63" i="33"/>
  <c r="Q91" i="33" s="1"/>
  <c r="P120" i="33" l="1"/>
  <c r="S63" i="33"/>
  <c r="S91" i="33" s="1"/>
  <c r="Q102" i="33"/>
  <c r="Q129" i="33"/>
  <c r="S124" i="33"/>
  <c r="S97" i="33"/>
  <c r="S49" i="33"/>
  <c r="R64" i="33"/>
  <c r="R92" i="33" s="1"/>
  <c r="Q119" i="33"/>
  <c r="P130" i="33"/>
  <c r="P103" i="33"/>
  <c r="P104" i="33" s="1"/>
  <c r="T123" i="33"/>
  <c r="T96" i="33"/>
  <c r="P119" i="33"/>
  <c r="P93" i="33"/>
  <c r="Q51" i="33"/>
  <c r="Q62" i="33"/>
  <c r="Q90" i="33" s="1"/>
  <c r="P76" i="33"/>
  <c r="Q105" i="33"/>
  <c r="Q132" i="33"/>
  <c r="U123" i="33" l="1"/>
  <c r="U96" i="33"/>
  <c r="S64" i="33"/>
  <c r="S92" i="33" s="1"/>
  <c r="Q117" i="33"/>
  <c r="Q65" i="33"/>
  <c r="R51" i="33"/>
  <c r="S118" i="33"/>
  <c r="T97" i="33"/>
  <c r="T124" i="33"/>
  <c r="T49" i="33"/>
  <c r="R118" i="33"/>
  <c r="P131" i="33"/>
  <c r="P78" i="33"/>
  <c r="R103" i="33"/>
  <c r="R130" i="33"/>
  <c r="T63" i="33"/>
  <c r="T91" i="33" s="1"/>
  <c r="Q93" i="33"/>
  <c r="Q118" i="33"/>
  <c r="Q76" i="33"/>
  <c r="Q128" i="33"/>
  <c r="Q101" i="33"/>
  <c r="Q104" i="33" s="1"/>
  <c r="R119" i="33"/>
  <c r="S129" i="33"/>
  <c r="S102" i="33"/>
  <c r="S62" i="33"/>
  <c r="S90" i="33" s="1"/>
  <c r="U63" i="33" l="1"/>
  <c r="U91" i="33" s="1"/>
  <c r="R132" i="33"/>
  <c r="R105" i="33"/>
  <c r="Q120" i="33"/>
  <c r="S119" i="33"/>
  <c r="U124" i="33"/>
  <c r="U97" i="33"/>
  <c r="V123" i="33"/>
  <c r="V96" i="33"/>
  <c r="T129" i="33"/>
  <c r="T102" i="33"/>
  <c r="T64" i="33"/>
  <c r="T92" i="33" s="1"/>
  <c r="R62" i="33"/>
  <c r="R90" i="33" s="1"/>
  <c r="T118" i="33"/>
  <c r="P133" i="33"/>
  <c r="P106" i="33"/>
  <c r="U49" i="33"/>
  <c r="S76" i="33"/>
  <c r="S128" i="33"/>
  <c r="S101" i="33"/>
  <c r="Q131" i="33"/>
  <c r="Q78" i="33"/>
  <c r="S51" i="33"/>
  <c r="S103" i="33"/>
  <c r="S130" i="33"/>
  <c r="V97" i="33" l="1"/>
  <c r="V124" i="33"/>
  <c r="U64" i="33"/>
  <c r="U92" i="33" s="1"/>
  <c r="T51" i="33"/>
  <c r="S117" i="33"/>
  <c r="S93" i="33"/>
  <c r="S65" i="33"/>
  <c r="T62" i="33"/>
  <c r="T90" i="33" s="1"/>
  <c r="Q133" i="33"/>
  <c r="Q106" i="33"/>
  <c r="S104" i="33"/>
  <c r="T103" i="33"/>
  <c r="T130" i="33"/>
  <c r="S105" i="33"/>
  <c r="S132" i="33"/>
  <c r="S78" i="33"/>
  <c r="V49" i="33"/>
  <c r="R117" i="33"/>
  <c r="R93" i="33"/>
  <c r="R65" i="33"/>
  <c r="T119" i="33"/>
  <c r="U129" i="33"/>
  <c r="U102" i="33"/>
  <c r="V63" i="33"/>
  <c r="V91" i="33" s="1"/>
  <c r="W123" i="33"/>
  <c r="W96" i="33"/>
  <c r="S131" i="33"/>
  <c r="R76" i="33"/>
  <c r="R101" i="33"/>
  <c r="R104" i="33" s="1"/>
  <c r="R128" i="33"/>
  <c r="U118" i="33"/>
  <c r="X63" i="33"/>
  <c r="X91" i="33" s="1"/>
  <c r="X123" i="33" l="1"/>
  <c r="X96" i="33"/>
  <c r="W63" i="33"/>
  <c r="W91" i="33" s="1"/>
  <c r="U62" i="33"/>
  <c r="U90" i="33" s="1"/>
  <c r="T105" i="33"/>
  <c r="T132" i="33"/>
  <c r="U119" i="33"/>
  <c r="U51" i="33"/>
  <c r="V64" i="33"/>
  <c r="V92" i="33" s="1"/>
  <c r="V102" i="33"/>
  <c r="V129" i="33"/>
  <c r="S106" i="33"/>
  <c r="S133" i="33"/>
  <c r="S120" i="33"/>
  <c r="W49" i="33"/>
  <c r="W124" i="33"/>
  <c r="W97" i="33"/>
  <c r="V118" i="33"/>
  <c r="T76" i="33"/>
  <c r="T78" i="33" s="1"/>
  <c r="T128" i="33"/>
  <c r="T101" i="33"/>
  <c r="T104" i="33" s="1"/>
  <c r="R131" i="33"/>
  <c r="R78" i="33"/>
  <c r="R120" i="33"/>
  <c r="T117" i="33"/>
  <c r="T93" i="33"/>
  <c r="T65" i="33"/>
  <c r="U130" i="33"/>
  <c r="U103" i="33"/>
  <c r="V62" i="33"/>
  <c r="V90" i="33" s="1"/>
  <c r="X64" i="33"/>
  <c r="X92" i="33" s="1"/>
  <c r="X102" i="33"/>
  <c r="T133" i="33" l="1"/>
  <c r="T106" i="33"/>
  <c r="T120" i="33"/>
  <c r="V119" i="33"/>
  <c r="W118" i="33"/>
  <c r="X49" i="33"/>
  <c r="X130" i="33"/>
  <c r="X103" i="33"/>
  <c r="X118" i="33"/>
  <c r="R106" i="33"/>
  <c r="R133" i="33"/>
  <c r="U105" i="33"/>
  <c r="U132" i="33"/>
  <c r="V51" i="33"/>
  <c r="X129" i="33"/>
  <c r="U76" i="33"/>
  <c r="U78" i="33" s="1"/>
  <c r="U101" i="33"/>
  <c r="U104" i="33" s="1"/>
  <c r="U128" i="33"/>
  <c r="X97" i="33"/>
  <c r="X124" i="33"/>
  <c r="W64" i="33"/>
  <c r="W92" i="33" s="1"/>
  <c r="V76" i="33"/>
  <c r="V101" i="33"/>
  <c r="V128" i="33"/>
  <c r="U117" i="33"/>
  <c r="U93" i="33"/>
  <c r="U65" i="33"/>
  <c r="T131" i="33"/>
  <c r="V130" i="33"/>
  <c r="V103" i="33"/>
  <c r="W129" i="33"/>
  <c r="W102" i="33"/>
  <c r="X62" i="33" l="1"/>
  <c r="X90" i="33" s="1"/>
  <c r="U120" i="33"/>
  <c r="V105" i="33"/>
  <c r="V132" i="33"/>
  <c r="V78" i="33"/>
  <c r="V104" i="33"/>
  <c r="W62" i="33"/>
  <c r="W90" i="33" s="1"/>
  <c r="V131" i="33"/>
  <c r="V117" i="33"/>
  <c r="V93" i="33"/>
  <c r="V65" i="33"/>
  <c r="W103" i="33"/>
  <c r="W130" i="33"/>
  <c r="U131" i="33"/>
  <c r="X119" i="33"/>
  <c r="W119" i="33"/>
  <c r="U133" i="33"/>
  <c r="U106" i="33"/>
  <c r="W51" i="33"/>
  <c r="W117" i="33" l="1"/>
  <c r="W93" i="33"/>
  <c r="W65" i="33"/>
  <c r="V133" i="33"/>
  <c r="V106" i="33"/>
  <c r="X51" i="33"/>
  <c r="V120" i="33"/>
  <c r="W132" i="33"/>
  <c r="W105" i="33"/>
  <c r="X76" i="33"/>
  <c r="X128" i="33"/>
  <c r="X101" i="33"/>
  <c r="X104" i="33" s="1"/>
  <c r="W76" i="33"/>
  <c r="W101" i="33"/>
  <c r="W104" i="33" s="1"/>
  <c r="W128" i="33"/>
  <c r="X117" i="33"/>
  <c r="X93" i="33"/>
  <c r="X65" i="33"/>
  <c r="X131" i="33" l="1"/>
  <c r="W131" i="33"/>
  <c r="X132" i="33"/>
  <c r="X105" i="33"/>
  <c r="X78" i="33"/>
  <c r="W120" i="33"/>
  <c r="X120" i="33"/>
  <c r="W78" i="33"/>
  <c r="X106" i="33" l="1"/>
  <c r="X133" i="33"/>
  <c r="W106" i="33"/>
  <c r="W133" i="33"/>
  <c r="P70" i="33" l="1"/>
  <c r="P95" i="33"/>
  <c r="P122" i="33"/>
  <c r="P43" i="33"/>
  <c r="Q70" i="33" l="1"/>
  <c r="Q122" i="33"/>
  <c r="Q95" i="33"/>
  <c r="Q43" i="33"/>
  <c r="P82" i="33"/>
  <c r="P83" i="33" s="1"/>
  <c r="P110" i="33"/>
  <c r="P126" i="33"/>
  <c r="P99" i="33"/>
  <c r="P98" i="33"/>
  <c r="P125" i="33"/>
  <c r="R70" i="33" l="1"/>
  <c r="R122" i="33"/>
  <c r="R95" i="33"/>
  <c r="R43" i="33"/>
  <c r="Q98" i="33"/>
  <c r="Q125" i="33"/>
  <c r="S70" i="33" l="1"/>
  <c r="S95" i="33"/>
  <c r="S122" i="33"/>
  <c r="S43" i="33"/>
  <c r="Q126" i="33"/>
  <c r="Q99" i="33"/>
  <c r="R125" i="33"/>
  <c r="R98" i="33"/>
  <c r="S99" i="33" l="1"/>
  <c r="S126" i="33"/>
  <c r="T43" i="33"/>
  <c r="Q110" i="33"/>
  <c r="Q82" i="33"/>
  <c r="Q83" i="33" s="1"/>
  <c r="T70" i="33"/>
  <c r="T95" i="33"/>
  <c r="T122" i="33"/>
  <c r="S98" i="33"/>
  <c r="S125" i="33"/>
  <c r="R126" i="33"/>
  <c r="R99" i="33"/>
  <c r="T126" i="33" l="1"/>
  <c r="T99" i="33"/>
  <c r="R110" i="33"/>
  <c r="R82" i="33"/>
  <c r="R83" i="33" s="1"/>
  <c r="T98" i="33"/>
  <c r="T125" i="33"/>
  <c r="U70" i="33"/>
  <c r="U95" i="33"/>
  <c r="U122" i="33"/>
  <c r="U43" i="33"/>
  <c r="V70" i="33" l="1"/>
  <c r="V122" i="33"/>
  <c r="V95" i="33"/>
  <c r="U98" i="33"/>
  <c r="U125" i="33"/>
  <c r="S110" i="33"/>
  <c r="S82" i="33"/>
  <c r="S83" i="33" s="1"/>
  <c r="V43" i="33"/>
  <c r="U99" i="33"/>
  <c r="U126" i="33"/>
  <c r="W70" i="33" l="1"/>
  <c r="W95" i="33"/>
  <c r="W122" i="33"/>
  <c r="V98" i="33"/>
  <c r="V125" i="33"/>
  <c r="X43" i="33"/>
  <c r="T82" i="33"/>
  <c r="T83" i="33" s="1"/>
  <c r="T110" i="33"/>
  <c r="W43" i="33"/>
  <c r="X70" i="33" l="1"/>
  <c r="X95" i="33"/>
  <c r="X122" i="33"/>
  <c r="V99" i="33"/>
  <c r="W125" i="33"/>
  <c r="W98" i="33"/>
  <c r="U82" i="33"/>
  <c r="U83" i="33" s="1"/>
  <c r="U110" i="33"/>
  <c r="W126" i="33"/>
  <c r="W99" i="33"/>
  <c r="V126" i="33"/>
  <c r="X98" i="33" l="1"/>
  <c r="X125" i="33"/>
  <c r="V110" i="33"/>
  <c r="V82" i="33"/>
  <c r="V83" i="33" s="1"/>
  <c r="X126" i="33"/>
  <c r="X99" i="33"/>
  <c r="W82" i="33" l="1"/>
  <c r="W83" i="33" s="1"/>
  <c r="W110" i="33"/>
  <c r="X110" i="33"/>
  <c r="X82" i="33"/>
  <c r="X83" i="33" l="1"/>
  <c r="C20" i="29" l="1"/>
  <c r="N20" i="29"/>
  <c r="P48" i="32"/>
  <c r="C12" i="29" l="1"/>
  <c r="N12" i="29"/>
  <c r="D20" i="29"/>
  <c r="O20" i="29" s="1"/>
  <c r="Q48" i="32"/>
  <c r="P75" i="32"/>
  <c r="P76" i="32" s="1"/>
  <c r="P104" i="32"/>
  <c r="E20" i="29" l="1"/>
  <c r="P20" i="29" s="1"/>
  <c r="R48" i="32"/>
  <c r="D12" i="29"/>
  <c r="O12" i="29" s="1"/>
  <c r="Q75" i="32"/>
  <c r="Q76" i="32" s="1"/>
  <c r="Q104" i="32"/>
  <c r="F20" i="29" l="1"/>
  <c r="Q20" i="29" s="1"/>
  <c r="S48" i="32"/>
  <c r="E12" i="29"/>
  <c r="P12" i="29" s="1"/>
  <c r="R75" i="32"/>
  <c r="R76" i="32" s="1"/>
  <c r="R104" i="32"/>
  <c r="G20" i="29" l="1"/>
  <c r="R20" i="29" s="1"/>
  <c r="T48" i="32"/>
  <c r="S75" i="32"/>
  <c r="S76" i="32" s="1"/>
  <c r="S104" i="32"/>
  <c r="F12" i="29"/>
  <c r="Q12" i="29" s="1"/>
  <c r="H20" i="29" l="1"/>
  <c r="S20" i="29" s="1"/>
  <c r="T75" i="32"/>
  <c r="T76" i="32" s="1"/>
  <c r="T104" i="32"/>
  <c r="G12" i="29"/>
  <c r="R12" i="29" s="1"/>
  <c r="U48" i="32"/>
  <c r="U75" i="32" l="1"/>
  <c r="U76" i="32" s="1"/>
  <c r="U104" i="32"/>
  <c r="H12" i="29"/>
  <c r="S12" i="29" s="1"/>
  <c r="I20" i="29"/>
  <c r="T20" i="29" s="1"/>
  <c r="V48" i="32"/>
  <c r="J20" i="29" l="1"/>
  <c r="U20" i="29" s="1"/>
  <c r="W48" i="32"/>
  <c r="V75" i="32"/>
  <c r="V76" i="32" s="1"/>
  <c r="V104" i="32"/>
  <c r="I12" i="29"/>
  <c r="T12" i="29" s="1"/>
  <c r="J12" i="29" l="1"/>
  <c r="U12" i="29" s="1"/>
  <c r="W75" i="32"/>
  <c r="W76" i="32" s="1"/>
  <c r="W104" i="32"/>
  <c r="K20" i="29"/>
  <c r="V20" i="29" s="1"/>
  <c r="W20" i="29" s="1"/>
  <c r="X48" i="32"/>
  <c r="X75" i="32" l="1"/>
  <c r="X76" i="32" s="1"/>
  <c r="X104" i="32"/>
  <c r="K12" i="29"/>
  <c r="V12" i="29" s="1"/>
  <c r="W12" i="29" s="1"/>
  <c r="P45" i="32" l="1"/>
  <c r="O45" i="32"/>
  <c r="P72" i="32"/>
  <c r="Q45" i="32" l="1"/>
  <c r="P128" i="32"/>
  <c r="P129" i="32" s="1"/>
  <c r="P100" i="32"/>
  <c r="C27" i="29" s="1"/>
  <c r="Q72" i="32"/>
  <c r="N27" i="29" l="1"/>
  <c r="P101" i="32"/>
  <c r="Q100" i="32"/>
  <c r="Q128" i="32"/>
  <c r="Q129" i="32" s="1"/>
  <c r="R72" i="32"/>
  <c r="R45" i="32"/>
  <c r="S72" i="32" l="1"/>
  <c r="S45" i="32"/>
  <c r="R100" i="32"/>
  <c r="R128" i="32"/>
  <c r="R129" i="32" s="1"/>
  <c r="D27" i="29"/>
  <c r="O27" i="29" s="1"/>
  <c r="Q101" i="32"/>
  <c r="T72" i="32" l="1"/>
  <c r="S128" i="32"/>
  <c r="S129" i="32" s="1"/>
  <c r="T45" i="32"/>
  <c r="E27" i="29"/>
  <c r="P27" i="29" s="1"/>
  <c r="R101" i="32"/>
  <c r="S100" i="32"/>
  <c r="U72" i="32"/>
  <c r="T100" i="32" l="1"/>
  <c r="G27" i="29" s="1"/>
  <c r="V72" i="32"/>
  <c r="F27" i="29"/>
  <c r="Q27" i="29" s="1"/>
  <c r="S101" i="32"/>
  <c r="U45" i="32"/>
  <c r="T128" i="32"/>
  <c r="T129" i="32" s="1"/>
  <c r="O39" i="32"/>
  <c r="Z55" i="32" s="1"/>
  <c r="T101" i="32" l="1"/>
  <c r="R27" i="29"/>
  <c r="V45" i="32"/>
  <c r="V128" i="32" s="1"/>
  <c r="U128" i="32"/>
  <c r="U129" i="32" s="1"/>
  <c r="W72" i="32"/>
  <c r="U100" i="32"/>
  <c r="V129" i="32" l="1"/>
  <c r="X72" i="32"/>
  <c r="H27" i="29"/>
  <c r="S27" i="29" s="1"/>
  <c r="U101" i="32"/>
  <c r="V100" i="32"/>
  <c r="W45" i="32"/>
  <c r="W100" i="32" s="1"/>
  <c r="P39" i="32"/>
  <c r="J27" i="29" l="1"/>
  <c r="W101" i="32"/>
  <c r="X45" i="32"/>
  <c r="X100" i="32" s="1"/>
  <c r="W128" i="32"/>
  <c r="W129" i="32" s="1"/>
  <c r="I27" i="29"/>
  <c r="T27" i="29" s="1"/>
  <c r="V101" i="32"/>
  <c r="X128" i="32" l="1"/>
  <c r="X129" i="32" s="1"/>
  <c r="K27" i="29"/>
  <c r="V27" i="29" s="1"/>
  <c r="X101" i="32"/>
  <c r="U27" i="29"/>
  <c r="W27" i="29" l="1"/>
  <c r="O41" i="32" l="1"/>
  <c r="Z57" i="32" s="1"/>
  <c r="P68" i="32"/>
  <c r="P41" i="32"/>
  <c r="P96" i="32" l="1"/>
  <c r="P124" i="32"/>
  <c r="P57" i="32"/>
  <c r="Q68" i="32"/>
  <c r="P85" i="32" l="1"/>
  <c r="P113" i="32"/>
  <c r="Q57" i="32"/>
  <c r="Q41" i="32"/>
  <c r="Q124" i="32" s="1"/>
  <c r="R68" i="32"/>
  <c r="Q96" i="32" l="1"/>
  <c r="R57" i="32"/>
  <c r="Q85" i="32"/>
  <c r="Q113" i="32"/>
  <c r="S68" i="32"/>
  <c r="R41" i="32"/>
  <c r="R96" i="32" s="1"/>
  <c r="R124" i="32" l="1"/>
  <c r="R113" i="32"/>
  <c r="R85" i="32"/>
  <c r="S57" i="32"/>
  <c r="T68" i="32"/>
  <c r="S41" i="32"/>
  <c r="S124" i="32" s="1"/>
  <c r="S96" i="32" l="1"/>
  <c r="T57" i="32"/>
  <c r="S113" i="32"/>
  <c r="S85" i="32"/>
  <c r="U68" i="32"/>
  <c r="T41" i="32"/>
  <c r="T124" i="32" s="1"/>
  <c r="T96" i="32" l="1"/>
  <c r="T85" i="32"/>
  <c r="T113" i="32"/>
  <c r="U57" i="32"/>
  <c r="V68" i="32"/>
  <c r="U41" i="32"/>
  <c r="U96" i="32" s="1"/>
  <c r="U124" i="32" l="1"/>
  <c r="V57" i="32"/>
  <c r="U85" i="32"/>
  <c r="U113" i="32"/>
  <c r="W68" i="32"/>
  <c r="V41" i="32"/>
  <c r="V124" i="32" s="1"/>
  <c r="V96" i="32" l="1"/>
  <c r="V85" i="32"/>
  <c r="V113" i="32"/>
  <c r="W57" i="32"/>
  <c r="W41" i="32"/>
  <c r="W96" i="32" s="1"/>
  <c r="X68" i="32"/>
  <c r="W124" i="32" l="1"/>
  <c r="X57" i="32"/>
  <c r="W113" i="32"/>
  <c r="W85" i="32"/>
  <c r="X41" i="32"/>
  <c r="X96" i="32" s="1"/>
  <c r="X124" i="32" l="1"/>
  <c r="X85" i="32"/>
  <c r="X113" i="32"/>
  <c r="P66" i="32" l="1"/>
  <c r="P94" i="32" l="1"/>
  <c r="P122" i="32"/>
  <c r="P55" i="32"/>
  <c r="P83" i="32" l="1"/>
  <c r="P111" i="32"/>
  <c r="Q39" i="32"/>
  <c r="Q66" i="32" l="1"/>
  <c r="R66" i="32"/>
  <c r="R39" i="32"/>
  <c r="Q94" i="32" l="1"/>
  <c r="Q122" i="32"/>
  <c r="Q55" i="32"/>
  <c r="R94" i="32"/>
  <c r="R122" i="32"/>
  <c r="R55" i="32"/>
  <c r="S39" i="32"/>
  <c r="Q111" i="32" l="1"/>
  <c r="Q83" i="32"/>
  <c r="R111" i="32"/>
  <c r="R83" i="32"/>
  <c r="S66" i="32"/>
  <c r="T39" i="32"/>
  <c r="T66" i="32" l="1"/>
  <c r="S94" i="32"/>
  <c r="S122" i="32"/>
  <c r="S55" i="32"/>
  <c r="U66" i="32"/>
  <c r="U39" i="32"/>
  <c r="T94" i="32" l="1"/>
  <c r="T122" i="32"/>
  <c r="T55" i="32"/>
  <c r="U122" i="32"/>
  <c r="U94" i="32"/>
  <c r="U55" i="32"/>
  <c r="S111" i="32"/>
  <c r="S83" i="32"/>
  <c r="V39" i="32"/>
  <c r="V66" i="32" l="1"/>
  <c r="T111" i="32"/>
  <c r="T83" i="32"/>
  <c r="U111" i="32"/>
  <c r="U83" i="32"/>
  <c r="X66" i="32"/>
  <c r="W66" i="32"/>
  <c r="W39" i="32"/>
  <c r="X55" i="32" l="1"/>
  <c r="V94" i="32"/>
  <c r="V122" i="32"/>
  <c r="V55" i="32"/>
  <c r="W94" i="32"/>
  <c r="W122" i="32"/>
  <c r="W55" i="32"/>
  <c r="X39" i="32" l="1"/>
  <c r="X111" i="32"/>
  <c r="X83" i="32"/>
  <c r="V111" i="32"/>
  <c r="V83" i="32"/>
  <c r="W83" i="32"/>
  <c r="W111" i="32"/>
  <c r="X94" i="32" l="1"/>
  <c r="X122" i="32"/>
  <c r="P40" i="32" l="1"/>
  <c r="P42" i="32" s="1"/>
  <c r="O35" i="32"/>
  <c r="O34" i="32" l="1"/>
  <c r="P67" i="32"/>
  <c r="P35" i="32"/>
  <c r="P62" i="32"/>
  <c r="P90" i="32" l="1"/>
  <c r="P118" i="32"/>
  <c r="P61" i="32"/>
  <c r="O40" i="32"/>
  <c r="P34" i="32"/>
  <c r="P69" i="32"/>
  <c r="P125" i="32" s="1"/>
  <c r="P123" i="32"/>
  <c r="P95" i="32"/>
  <c r="P97" i="32" s="1"/>
  <c r="Q62" i="32"/>
  <c r="Q35" i="32"/>
  <c r="Q90" i="32" l="1"/>
  <c r="Q118" i="32"/>
  <c r="P70" i="32"/>
  <c r="O42" i="32"/>
  <c r="Y40" i="32"/>
  <c r="Z56" i="32"/>
  <c r="P56" i="32" s="1"/>
  <c r="Q67" i="32"/>
  <c r="O43" i="32"/>
  <c r="O44" i="32" s="1"/>
  <c r="P117" i="32"/>
  <c r="P89" i="32"/>
  <c r="Q34" i="32"/>
  <c r="Q61" i="32"/>
  <c r="R62" i="32"/>
  <c r="R35" i="32"/>
  <c r="R118" i="32" l="1"/>
  <c r="R90" i="32"/>
  <c r="R34" i="32"/>
  <c r="R67" i="32"/>
  <c r="Q89" i="32"/>
  <c r="Q117" i="32"/>
  <c r="Q69" i="32"/>
  <c r="Q56" i="32"/>
  <c r="P71" i="32"/>
  <c r="Q40" i="32"/>
  <c r="Q42" i="32" s="1"/>
  <c r="R61" i="32"/>
  <c r="P43" i="32"/>
  <c r="P44" i="32" s="1"/>
  <c r="Q70" i="32"/>
  <c r="P84" i="32"/>
  <c r="P86" i="32" s="1"/>
  <c r="P58" i="32"/>
  <c r="P114" i="32" s="1"/>
  <c r="P112" i="32"/>
  <c r="S35" i="32"/>
  <c r="S62" i="32"/>
  <c r="S90" i="32" l="1"/>
  <c r="S118" i="32"/>
  <c r="P98" i="32"/>
  <c r="S34" i="32"/>
  <c r="P126" i="32"/>
  <c r="Q125" i="32"/>
  <c r="R69" i="32"/>
  <c r="R56" i="32"/>
  <c r="Q95" i="32"/>
  <c r="Q97" i="32" s="1"/>
  <c r="R40" i="32"/>
  <c r="R42" i="32" s="1"/>
  <c r="S67" i="32"/>
  <c r="Q112" i="32"/>
  <c r="Q58" i="32"/>
  <c r="Q114" i="32" s="1"/>
  <c r="Q84" i="32"/>
  <c r="Q86" i="32" s="1"/>
  <c r="S61" i="32"/>
  <c r="Q43" i="32"/>
  <c r="Q44" i="32" s="1"/>
  <c r="R70" i="32"/>
  <c r="Q71" i="32"/>
  <c r="R117" i="32"/>
  <c r="R89" i="32"/>
  <c r="P127" i="32"/>
  <c r="P99" i="32"/>
  <c r="Q123" i="32"/>
  <c r="T35" i="32"/>
  <c r="T62" i="32"/>
  <c r="R95" i="32" l="1"/>
  <c r="R97" i="32" s="1"/>
  <c r="T90" i="32"/>
  <c r="T118" i="32"/>
  <c r="Q126" i="32"/>
  <c r="Q98" i="32"/>
  <c r="Q127" i="32"/>
  <c r="S56" i="32"/>
  <c r="S69" i="32"/>
  <c r="T34" i="32"/>
  <c r="T61" i="32"/>
  <c r="S70" i="32"/>
  <c r="R58" i="32"/>
  <c r="R114" i="32" s="1"/>
  <c r="R112" i="32"/>
  <c r="R84" i="32"/>
  <c r="R86" i="32" s="1"/>
  <c r="R43" i="32"/>
  <c r="R44" i="32" s="1"/>
  <c r="R125" i="32"/>
  <c r="T67" i="32"/>
  <c r="S40" i="32"/>
  <c r="S42" i="32" s="1"/>
  <c r="Q99" i="32"/>
  <c r="R71" i="32"/>
  <c r="S89" i="32"/>
  <c r="S117" i="32"/>
  <c r="R123" i="32"/>
  <c r="U35" i="32"/>
  <c r="U62" i="32"/>
  <c r="S95" i="32" l="1"/>
  <c r="S97" i="32" s="1"/>
  <c r="U90" i="32"/>
  <c r="U118" i="32"/>
  <c r="R127" i="32"/>
  <c r="S43" i="32"/>
  <c r="S44" i="32" s="1"/>
  <c r="R98" i="32"/>
  <c r="U34" i="32"/>
  <c r="T40" i="32"/>
  <c r="T42" i="32" s="1"/>
  <c r="R126" i="32"/>
  <c r="T56" i="32"/>
  <c r="T69" i="32"/>
  <c r="T95" i="32"/>
  <c r="T97" i="32" s="1"/>
  <c r="S71" i="32"/>
  <c r="S125" i="32"/>
  <c r="U67" i="32"/>
  <c r="S112" i="32"/>
  <c r="S58" i="32"/>
  <c r="S114" i="32" s="1"/>
  <c r="S84" i="32"/>
  <c r="S86" i="32" s="1"/>
  <c r="U61" i="32"/>
  <c r="T70" i="32"/>
  <c r="R99" i="32"/>
  <c r="T117" i="32"/>
  <c r="T89" i="32"/>
  <c r="S123" i="32"/>
  <c r="V35" i="32"/>
  <c r="V62" i="32"/>
  <c r="T123" i="32" l="1"/>
  <c r="T125" i="32"/>
  <c r="V90" i="32"/>
  <c r="V118" i="32"/>
  <c r="S99" i="32"/>
  <c r="S126" i="32"/>
  <c r="S98" i="32"/>
  <c r="U89" i="32"/>
  <c r="U117" i="32"/>
  <c r="V67" i="32"/>
  <c r="T84" i="32"/>
  <c r="T86" i="32" s="1"/>
  <c r="T58" i="32"/>
  <c r="T114" i="32" s="1"/>
  <c r="T112" i="32"/>
  <c r="V61" i="32"/>
  <c r="U70" i="32"/>
  <c r="T71" i="32"/>
  <c r="S127" i="32"/>
  <c r="U40" i="32"/>
  <c r="U42" i="32" s="1"/>
  <c r="V34" i="32"/>
  <c r="T43" i="32"/>
  <c r="T44" i="32" s="1"/>
  <c r="U56" i="32"/>
  <c r="U69" i="32"/>
  <c r="U125" i="32" s="1"/>
  <c r="W62" i="32"/>
  <c r="W35" i="32"/>
  <c r="X35" i="32"/>
  <c r="U123" i="32" l="1"/>
  <c r="U95" i="32"/>
  <c r="U97" i="32" s="1"/>
  <c r="W90" i="32"/>
  <c r="W118" i="32"/>
  <c r="T127" i="32"/>
  <c r="W67" i="32"/>
  <c r="V56" i="32"/>
  <c r="V69" i="32"/>
  <c r="W61" i="32"/>
  <c r="T99" i="32"/>
  <c r="T98" i="32"/>
  <c r="V89" i="32"/>
  <c r="V117" i="32"/>
  <c r="U43" i="32"/>
  <c r="U44" i="32" s="1"/>
  <c r="V70" i="32"/>
  <c r="T126" i="32"/>
  <c r="W34" i="32"/>
  <c r="X34" i="32"/>
  <c r="V40" i="32"/>
  <c r="V42" i="32" s="1"/>
  <c r="U58" i="32"/>
  <c r="U114" i="32" s="1"/>
  <c r="U112" i="32"/>
  <c r="U84" i="32"/>
  <c r="U71" i="32"/>
  <c r="X62" i="32"/>
  <c r="X118" i="32" l="1"/>
  <c r="X90" i="32"/>
  <c r="U126" i="32"/>
  <c r="U98" i="32"/>
  <c r="U127" i="32"/>
  <c r="V43" i="32"/>
  <c r="V44" i="32" s="1"/>
  <c r="W70" i="32"/>
  <c r="U99" i="32"/>
  <c r="V112" i="32"/>
  <c r="V84" i="32"/>
  <c r="V86" i="32" s="1"/>
  <c r="V58" i="32"/>
  <c r="V114" i="32" s="1"/>
  <c r="W40" i="32"/>
  <c r="W42" i="32" s="1"/>
  <c r="W89" i="32"/>
  <c r="W117" i="32"/>
  <c r="V123" i="32"/>
  <c r="W56" i="32"/>
  <c r="W69" i="32"/>
  <c r="V125" i="32"/>
  <c r="X61" i="32"/>
  <c r="U86" i="32"/>
  <c r="Y84" i="32"/>
  <c r="V71" i="32"/>
  <c r="V95" i="32"/>
  <c r="V97" i="32" s="1"/>
  <c r="W123" i="32" l="1"/>
  <c r="W125" i="32"/>
  <c r="V98" i="32"/>
  <c r="V99" i="32"/>
  <c r="V126" i="32"/>
  <c r="X70" i="32"/>
  <c r="X117" i="32"/>
  <c r="X89" i="32"/>
  <c r="X67" i="32"/>
  <c r="W43" i="32"/>
  <c r="W44" i="32" s="1"/>
  <c r="W71" i="32"/>
  <c r="X40" i="32"/>
  <c r="X42" i="32" s="1"/>
  <c r="W58" i="32"/>
  <c r="W114" i="32" s="1"/>
  <c r="W84" i="32"/>
  <c r="W86" i="32" s="1"/>
  <c r="W112" i="32"/>
  <c r="V127" i="32"/>
  <c r="W95" i="32"/>
  <c r="W97" i="32" s="1"/>
  <c r="W99" i="32" l="1"/>
  <c r="W127" i="32"/>
  <c r="X43" i="32"/>
  <c r="X98" i="32" s="1"/>
  <c r="W98" i="32"/>
  <c r="X56" i="32"/>
  <c r="X95" i="32"/>
  <c r="X97" i="32" s="1"/>
  <c r="X69" i="32"/>
  <c r="X125" i="32" s="1"/>
  <c r="X123" i="32"/>
  <c r="W126" i="32"/>
  <c r="X71" i="32" l="1"/>
  <c r="X44" i="32"/>
  <c r="X126" i="32"/>
  <c r="X84" i="32"/>
  <c r="X86" i="32" s="1"/>
  <c r="X112" i="32"/>
  <c r="X58" i="32"/>
  <c r="X114" i="32" s="1"/>
  <c r="X99" i="32" l="1"/>
  <c r="X127" i="32"/>
  <c r="P33" i="32" l="1"/>
  <c r="P36" i="32" s="1"/>
  <c r="O37" i="32"/>
  <c r="O33" i="32"/>
  <c r="O36" i="32" s="1"/>
  <c r="P60" i="32" l="1"/>
  <c r="P37" i="32"/>
  <c r="P64" i="32"/>
  <c r="P120" i="32" l="1"/>
  <c r="P92" i="32"/>
  <c r="Q33" i="32"/>
  <c r="Q36" i="32" s="1"/>
  <c r="Q60" i="32"/>
  <c r="Q37" i="32"/>
  <c r="P88" i="32"/>
  <c r="P116" i="32"/>
  <c r="P63" i="32"/>
  <c r="P91" i="32" s="1"/>
  <c r="P119" i="32" l="1"/>
  <c r="Q63" i="32"/>
  <c r="Q116" i="32"/>
  <c r="Q88" i="32"/>
  <c r="R37" i="32"/>
  <c r="R60" i="32"/>
  <c r="R33" i="32"/>
  <c r="R36" i="32" s="1"/>
  <c r="S37" i="32" l="1"/>
  <c r="S60" i="32"/>
  <c r="Q64" i="32"/>
  <c r="Q119" i="32"/>
  <c r="Q91" i="32"/>
  <c r="S33" i="32"/>
  <c r="S36" i="32" s="1"/>
  <c r="R63" i="32"/>
  <c r="R88" i="32"/>
  <c r="R116" i="32"/>
  <c r="R91" i="32" l="1"/>
  <c r="R119" i="32"/>
  <c r="S63" i="32"/>
  <c r="S88" i="32"/>
  <c r="S116" i="32"/>
  <c r="R64" i="32"/>
  <c r="T37" i="32"/>
  <c r="T60" i="32"/>
  <c r="Q120" i="32"/>
  <c r="Q92" i="32"/>
  <c r="T33" i="32"/>
  <c r="T36" i="32" s="1"/>
  <c r="U37" i="32" l="1"/>
  <c r="T63" i="32"/>
  <c r="T116" i="32"/>
  <c r="T88" i="32"/>
  <c r="R92" i="32"/>
  <c r="R120" i="32"/>
  <c r="S119" i="32"/>
  <c r="S91" i="32"/>
  <c r="S64" i="32"/>
  <c r="U33" i="32"/>
  <c r="U36" i="32" s="1"/>
  <c r="U60" i="32"/>
  <c r="U63" i="32" l="1"/>
  <c r="U88" i="32"/>
  <c r="U116" i="32"/>
  <c r="S120" i="32"/>
  <c r="S92" i="32"/>
  <c r="T91" i="32"/>
  <c r="T119" i="32"/>
  <c r="T64" i="32"/>
  <c r="V37" i="32"/>
  <c r="V33" i="32"/>
  <c r="V36" i="32" s="1"/>
  <c r="V60" i="32"/>
  <c r="U64" i="32" l="1"/>
  <c r="W33" i="32"/>
  <c r="W36" i="32" s="1"/>
  <c r="V63" i="32"/>
  <c r="V88" i="32"/>
  <c r="V116" i="32"/>
  <c r="X33" i="32"/>
  <c r="X36" i="32" s="1"/>
  <c r="W60" i="32"/>
  <c r="T120" i="32"/>
  <c r="T92" i="32"/>
  <c r="U119" i="32"/>
  <c r="U91" i="32"/>
  <c r="V64" i="32" l="1"/>
  <c r="U120" i="32"/>
  <c r="U92" i="32"/>
  <c r="X60" i="32"/>
  <c r="X37" i="32"/>
  <c r="W37" i="32"/>
  <c r="W63" i="32"/>
  <c r="W88" i="32"/>
  <c r="W116" i="32"/>
  <c r="V91" i="32"/>
  <c r="V119" i="32"/>
  <c r="W64" i="32" l="1"/>
  <c r="W119" i="32"/>
  <c r="W91" i="32"/>
  <c r="X116" i="32"/>
  <c r="X63" i="32"/>
  <c r="X88" i="32"/>
  <c r="V120" i="32"/>
  <c r="V92" i="32"/>
  <c r="X64" i="32" l="1"/>
  <c r="X91" i="32"/>
  <c r="X119" i="32"/>
  <c r="W120" i="32"/>
  <c r="W92" i="32"/>
  <c r="X120" i="32" l="1"/>
  <c r="X92" i="32"/>
</calcChain>
</file>

<file path=xl/comments1.xml><?xml version="1.0" encoding="utf-8"?>
<comments xmlns="http://schemas.openxmlformats.org/spreadsheetml/2006/main">
  <authors>
    <author>Jyothi Gali</author>
  </authors>
  <commentList>
    <comment ref="N19" authorId="0">
      <text>
        <r>
          <rPr>
            <b/>
            <sz val="9"/>
            <color indexed="81"/>
            <rFont val="Tahoma"/>
            <family val="2"/>
          </rPr>
          <t>Jyothi Gali:</t>
        </r>
        <r>
          <rPr>
            <sz val="9"/>
            <color indexed="81"/>
            <rFont val="Tahoma"/>
            <family val="2"/>
          </rPr>
          <t xml:space="preserve">
Actual data from NSW Treasury</t>
        </r>
      </text>
    </comment>
    <comment ref="P87" authorId="0">
      <text>
        <r>
          <rPr>
            <b/>
            <sz val="9"/>
            <color indexed="81"/>
            <rFont val="Tahoma"/>
            <family val="2"/>
          </rPr>
          <t>Jyothi Gali:</t>
        </r>
        <r>
          <rPr>
            <sz val="9"/>
            <color indexed="81"/>
            <rFont val="Tahoma"/>
            <family val="2"/>
          </rPr>
          <t xml:space="preserve">
NSW Treasury forecasts $159m</t>
        </r>
      </text>
    </comment>
  </commentList>
</comments>
</file>

<file path=xl/comments2.xml><?xml version="1.0" encoding="utf-8"?>
<comments xmlns="http://schemas.openxmlformats.org/spreadsheetml/2006/main">
  <authors>
    <author>Jyothi Gali</author>
  </authors>
  <commentList>
    <comment ref="Z14" authorId="0">
      <text>
        <r>
          <rPr>
            <b/>
            <sz val="9"/>
            <color indexed="81"/>
            <rFont val="Tahoma"/>
            <family val="2"/>
          </rPr>
          <t>Jyothi Gali:</t>
        </r>
        <r>
          <rPr>
            <sz val="9"/>
            <color indexed="81"/>
            <rFont val="Tahoma"/>
            <family val="2"/>
          </rPr>
          <t xml:space="preserve">
MMRF model database value in 2013-14</t>
        </r>
      </text>
    </comment>
    <comment ref="AB14" authorId="0">
      <text>
        <r>
          <rPr>
            <b/>
            <sz val="9"/>
            <color indexed="81"/>
            <rFont val="Tahoma"/>
            <family val="2"/>
          </rPr>
          <t>Jyothi Gali:</t>
        </r>
        <r>
          <rPr>
            <sz val="9"/>
            <color indexed="81"/>
            <rFont val="Tahoma"/>
            <family val="2"/>
          </rPr>
          <t xml:space="preserve">
Industry shock (government expenditure)</t>
        </r>
      </text>
    </comment>
    <comment ref="Z15" authorId="0">
      <text>
        <r>
          <rPr>
            <b/>
            <sz val="9"/>
            <color indexed="81"/>
            <rFont val="Tahoma"/>
            <family val="2"/>
          </rPr>
          <t>Jyothi Gali:</t>
        </r>
        <r>
          <rPr>
            <sz val="9"/>
            <color indexed="81"/>
            <rFont val="Tahoma"/>
            <family val="2"/>
          </rPr>
          <t xml:space="preserve">
2018-19 MMRF value in policy</t>
        </r>
      </text>
    </comment>
  </commentList>
</comments>
</file>

<file path=xl/comments3.xml><?xml version="1.0" encoding="utf-8"?>
<comments xmlns="http://schemas.openxmlformats.org/spreadsheetml/2006/main">
  <authors>
    <author>Jyothi Gali</author>
  </authors>
  <commentList>
    <comment ref="Z16" authorId="0">
      <text>
        <r>
          <rPr>
            <b/>
            <sz val="9"/>
            <color indexed="81"/>
            <rFont val="Tahoma"/>
            <family val="2"/>
          </rPr>
          <t>Jyothi Gali:</t>
        </r>
        <r>
          <rPr>
            <sz val="9"/>
            <color indexed="81"/>
            <rFont val="Tahoma"/>
            <family val="2"/>
          </rPr>
          <t xml:space="preserve">
MMRF model database value in 2013-14</t>
        </r>
      </text>
    </comment>
    <comment ref="AB16" authorId="0">
      <text>
        <r>
          <rPr>
            <b/>
            <sz val="9"/>
            <color indexed="81"/>
            <rFont val="Tahoma"/>
            <family val="2"/>
          </rPr>
          <t>Jyothi Gali:</t>
        </r>
        <r>
          <rPr>
            <sz val="9"/>
            <color indexed="81"/>
            <rFont val="Tahoma"/>
            <family val="2"/>
          </rPr>
          <t xml:space="preserve">
Industry shock (government expenditure)</t>
        </r>
      </text>
    </comment>
  </commentList>
</comments>
</file>

<file path=xl/comments4.xml><?xml version="1.0" encoding="utf-8"?>
<comments xmlns="http://schemas.openxmlformats.org/spreadsheetml/2006/main">
  <authors>
    <author>Jyothi Gali</author>
  </authors>
  <commentList>
    <comment ref="Z45" authorId="0">
      <text>
        <r>
          <rPr>
            <b/>
            <sz val="9"/>
            <color indexed="81"/>
            <rFont val="Tahoma"/>
            <family val="2"/>
          </rPr>
          <t>Jyothi Gali:</t>
        </r>
        <r>
          <rPr>
            <sz val="9"/>
            <color indexed="81"/>
            <rFont val="Tahoma"/>
            <family val="2"/>
          </rPr>
          <t xml:space="preserve">
MMRF model database value in 2013-14</t>
        </r>
      </text>
    </comment>
    <comment ref="AB45" authorId="0">
      <text>
        <r>
          <rPr>
            <b/>
            <sz val="9"/>
            <color indexed="81"/>
            <rFont val="Tahoma"/>
            <family val="2"/>
          </rPr>
          <t>Jyothi Gali:</t>
        </r>
        <r>
          <rPr>
            <sz val="9"/>
            <color indexed="81"/>
            <rFont val="Tahoma"/>
            <family val="2"/>
          </rPr>
          <t xml:space="preserve">
Industry shock (government expenditure)</t>
        </r>
      </text>
    </comment>
    <comment ref="Z46" authorId="0">
      <text>
        <r>
          <rPr>
            <b/>
            <sz val="9"/>
            <color indexed="81"/>
            <rFont val="Tahoma"/>
            <family val="2"/>
          </rPr>
          <t>Jyothi Gali:</t>
        </r>
        <r>
          <rPr>
            <sz val="9"/>
            <color indexed="81"/>
            <rFont val="Tahoma"/>
            <family val="2"/>
          </rPr>
          <t xml:space="preserve">
2018-19 MMRF value in policy</t>
        </r>
      </text>
    </comment>
    <comment ref="P48" authorId="0">
      <text>
        <r>
          <rPr>
            <b/>
            <sz val="9"/>
            <color indexed="81"/>
            <rFont val="Tahoma"/>
            <family val="2"/>
          </rPr>
          <t>Jyothi Gali:</t>
        </r>
        <r>
          <rPr>
            <sz val="9"/>
            <color indexed="81"/>
            <rFont val="Tahoma"/>
            <family val="2"/>
          </rPr>
          <t xml:space="preserve">
254.6m, in page 1, which one is correct</t>
        </r>
      </text>
    </comment>
  </commentList>
</comments>
</file>

<file path=xl/comments5.xml><?xml version="1.0" encoding="utf-8"?>
<comments xmlns="http://schemas.openxmlformats.org/spreadsheetml/2006/main">
  <authors>
    <author>Jyothi Gali</author>
  </authors>
  <commentList>
    <comment ref="E31" authorId="0">
      <text>
        <r>
          <rPr>
            <b/>
            <sz val="9"/>
            <color indexed="81"/>
            <rFont val="Tahoma"/>
            <family val="2"/>
          </rPr>
          <t>Jyothi Gali:</t>
        </r>
        <r>
          <rPr>
            <sz val="9"/>
            <color indexed="81"/>
            <rFont val="Tahoma"/>
            <family val="2"/>
          </rPr>
          <t xml:space="preserve">
Industry that produces these commodities</t>
        </r>
      </text>
    </comment>
  </commentList>
</comments>
</file>

<file path=xl/comments6.xml><?xml version="1.0" encoding="utf-8"?>
<comments xmlns="http://schemas.openxmlformats.org/spreadsheetml/2006/main">
  <authors>
    <author>Jyothi Gali</author>
  </authors>
  <commentList>
    <comment ref="D49" authorId="0">
      <text>
        <r>
          <rPr>
            <b/>
            <sz val="9"/>
            <color indexed="81"/>
            <rFont val="Tahoma"/>
            <family val="2"/>
          </rPr>
          <t>Jyothi Gali:</t>
        </r>
        <r>
          <rPr>
            <sz val="9"/>
            <color indexed="81"/>
            <rFont val="Tahoma"/>
            <family val="2"/>
          </rPr>
          <t xml:space="preserve">
Base for victorian taxes</t>
        </r>
      </text>
    </comment>
  </commentList>
</comments>
</file>

<file path=xl/sharedStrings.xml><?xml version="1.0" encoding="utf-8"?>
<sst xmlns="http://schemas.openxmlformats.org/spreadsheetml/2006/main" count="4826" uniqueCount="582">
  <si>
    <t>Disclaimers</t>
  </si>
  <si>
    <t>1) The Model is provided on the basis that it is strictly private and confidential.</t>
  </si>
  <si>
    <t xml:space="preserve">     merchantibility, adequacy, accuracy or completeness for the model or its assumptions (inherent or explicit).</t>
  </si>
  <si>
    <t>4) Users of this model do so entirely at their own risk.</t>
  </si>
  <si>
    <t xml:space="preserve">     which may affect the integrity of the electronic file or the system which receives it.</t>
  </si>
  <si>
    <t xml:space="preserve">     not responsible for inaccuracies, failure of the model or calculation errors due to the user's input or inadequacies / errors within the coding of </t>
  </si>
  <si>
    <t xml:space="preserve">     the model.</t>
  </si>
  <si>
    <t>7) The model has not been subjected to a full model review.</t>
  </si>
  <si>
    <t>2012-13</t>
  </si>
  <si>
    <t>Tax revenue estimate at NSW level</t>
  </si>
  <si>
    <t>Historical NSW wagering industry data</t>
  </si>
  <si>
    <t>2011-12</t>
  </si>
  <si>
    <t>Tax rate</t>
  </si>
  <si>
    <t>2002-03</t>
  </si>
  <si>
    <t>2003-04</t>
  </si>
  <si>
    <t>2004-05</t>
  </si>
  <si>
    <t>2005-06</t>
  </si>
  <si>
    <t>2006-07</t>
  </si>
  <si>
    <t>2007-08</t>
  </si>
  <si>
    <t>2008-09</t>
  </si>
  <si>
    <t>2009-10</t>
  </si>
  <si>
    <t>2010-11</t>
  </si>
  <si>
    <t>2013-14</t>
  </si>
  <si>
    <t>2014-15</t>
  </si>
  <si>
    <t>2015-16</t>
  </si>
  <si>
    <t>2016-17</t>
  </si>
  <si>
    <t>2017-18</t>
  </si>
  <si>
    <t>2018-19</t>
  </si>
  <si>
    <t>2019-20</t>
  </si>
  <si>
    <t>2020-21</t>
  </si>
  <si>
    <t>2021-22</t>
  </si>
  <si>
    <t>2022-23</t>
  </si>
  <si>
    <t xml:space="preserve"> understanding that:  </t>
  </si>
  <si>
    <t>Total</t>
  </si>
  <si>
    <t>%</t>
  </si>
  <si>
    <t xml:space="preserve">Tax revenue </t>
  </si>
  <si>
    <t>$million</t>
  </si>
  <si>
    <t>Definition of the industry</t>
  </si>
  <si>
    <t>For the purpose this study, we follow the definition used by the BCG (2008) report</t>
  </si>
  <si>
    <t>This industry comprises</t>
  </si>
  <si>
    <t>1. The production of throughbred horse - this includes hrose breeding, bloodstock sales, horse ownership, and the training and upkeep of horses</t>
  </si>
  <si>
    <t>0191, Bloodstock breeding - horse</t>
  </si>
  <si>
    <t>0191, Horse breeding</t>
  </si>
  <si>
    <t>0191, Horse farming</t>
  </si>
  <si>
    <t>9209, Gambling services - horse racing - on course bookmaker</t>
  </si>
  <si>
    <t>The following ANZSIC classes consititute</t>
  </si>
  <si>
    <t>9121, Racing authority or board</t>
  </si>
  <si>
    <t>9121, Racing or jockey club operation - race administration</t>
  </si>
  <si>
    <t>9121, Racing or jockey club operation - race track operation</t>
  </si>
  <si>
    <t>2. Racing - which entails the holding of race meetings and includes racing adminstration, race clubs and jockeys</t>
  </si>
  <si>
    <t>3. Wagering - which involves operators like bookmakers/Tabcorp who accept wagers on races</t>
  </si>
  <si>
    <t>NSW</t>
  </si>
  <si>
    <t>VIC</t>
  </si>
  <si>
    <t>QLD</t>
  </si>
  <si>
    <t>SA</t>
  </si>
  <si>
    <t>WA</t>
  </si>
  <si>
    <t>TAS</t>
  </si>
  <si>
    <t>NT</t>
  </si>
  <si>
    <t>ACT</t>
  </si>
  <si>
    <t>Australia</t>
  </si>
  <si>
    <t>Clubs</t>
  </si>
  <si>
    <t>tracks</t>
  </si>
  <si>
    <t>Race Meetings</t>
  </si>
  <si>
    <t>Flat Races</t>
  </si>
  <si>
    <t>Jumping Races</t>
  </si>
  <si>
    <t>Total Races</t>
  </si>
  <si>
    <t>Flat Horses</t>
  </si>
  <si>
    <t>Jumping Horses</t>
  </si>
  <si>
    <t>Total Horses</t>
  </si>
  <si>
    <t>Flat Starters</t>
  </si>
  <si>
    <t>Jumping Starters</t>
  </si>
  <si>
    <t>Total Starters</t>
  </si>
  <si>
    <t>Prize Money Paid</t>
  </si>
  <si>
    <t>Incentive Scheme Payments</t>
  </si>
  <si>
    <t>Other Returns ot Owners</t>
  </si>
  <si>
    <t>Sub-total Returns to Owners</t>
  </si>
  <si>
    <t>Fees Paid by Owners</t>
  </si>
  <si>
    <t>Total (Net) Returns to Owners</t>
  </si>
  <si>
    <t>Bookmakers</t>
  </si>
  <si>
    <t>n/A</t>
  </si>
  <si>
    <t>Trainers</t>
  </si>
  <si>
    <t>*</t>
  </si>
  <si>
    <t>Jockeys</t>
  </si>
  <si>
    <t>Apprentice Jockeys</t>
  </si>
  <si>
    <t>Amateur Jockeys</t>
  </si>
  <si>
    <t>Total Riders</t>
  </si>
  <si>
    <t>Table 1. Australian Racing Statistics, State by State (2012-13)</t>
  </si>
  <si>
    <t>Source: Australian Racing Factbook</t>
  </si>
  <si>
    <t>TAB On Course</t>
  </si>
  <si>
    <t>Retail</t>
  </si>
  <si>
    <t>Phone</t>
  </si>
  <si>
    <t>Internet</t>
  </si>
  <si>
    <t>Total Off Course</t>
  </si>
  <si>
    <t>Total Par-Mutuel</t>
  </si>
  <si>
    <t>Fixed Odds</t>
  </si>
  <si>
    <t>Total TAB</t>
  </si>
  <si>
    <t>Bookmaker Face-to-Face</t>
  </si>
  <si>
    <t>Total Bookmakers</t>
  </si>
  <si>
    <t>Total Wagering</t>
  </si>
  <si>
    <t>Share of total wagering</t>
  </si>
  <si>
    <t xml:space="preserve"> Share of total net returns</t>
  </si>
  <si>
    <t>PARIMUTUEL WAGERING</t>
  </si>
  <si>
    <t>BETTING TAX ASSESSED</t>
  </si>
  <si>
    <t>THOROUGHBREDS</t>
  </si>
  <si>
    <t>GREYHOUNDS</t>
  </si>
  <si>
    <t>HARNESS RACING</t>
  </si>
  <si>
    <t>TOTAL</t>
  </si>
  <si>
    <t>FIXED ODDS RACING</t>
  </si>
  <si>
    <t>FOOTYTAB -NRL, STATE OF ORIGIN AND LEAGUE TEST MATCHES</t>
  </si>
  <si>
    <t>TAB DECLARED BETTING EVENTS</t>
  </si>
  <si>
    <t>TOTAL BETTING TAX</t>
  </si>
  <si>
    <t>$</t>
  </si>
  <si>
    <t>FRACTIONS REVENUE (from rounding down of parimutuel dividends)</t>
  </si>
  <si>
    <t>Table 3 Break down of betting tax assessments (2012-13)</t>
  </si>
  <si>
    <t>Table 73. Thoroughred Wagering Turnover (2012-13)</t>
  </si>
  <si>
    <t>Commission</t>
  </si>
  <si>
    <t>Tax base</t>
  </si>
  <si>
    <t>Weighted average tax rate</t>
  </si>
  <si>
    <t>Weighted average base</t>
  </si>
  <si>
    <t>Weighted average tax revenue</t>
  </si>
  <si>
    <t>Actual and forecasted baseline</t>
  </si>
  <si>
    <t>Tax revenue with Vic tax rate</t>
  </si>
  <si>
    <t>Percentage change in weighted average tax rate</t>
  </si>
  <si>
    <t>Change in tax revenue (direct impact)</t>
  </si>
  <si>
    <t>Throughbred Racing industry Turnover (output)</t>
  </si>
  <si>
    <t>Data from IO tables Product Details</t>
  </si>
  <si>
    <t>Horse studs</t>
  </si>
  <si>
    <t>Other agriculture</t>
  </si>
  <si>
    <t>Horse and dog racing operation</t>
  </si>
  <si>
    <t>Sport, gambling and recreational services</t>
  </si>
  <si>
    <t>Totalisator agency services</t>
  </si>
  <si>
    <t>Throughbred Racing industry gross value added -Australia</t>
  </si>
  <si>
    <t>Throughbred Racing industry gross value added - NSW</t>
  </si>
  <si>
    <t>Throughbred racing industry</t>
  </si>
  <si>
    <t>Difference</t>
  </si>
  <si>
    <t>Other</t>
  </si>
  <si>
    <t>Vic tax rate</t>
  </si>
  <si>
    <t>Vic rate</t>
  </si>
  <si>
    <t>Commision</t>
  </si>
  <si>
    <t>Weighted commission rate</t>
  </si>
  <si>
    <t xml:space="preserve">2) No representation, warranty or undertaking (express or implied) is made and no responsibility is taken by the PwC for the </t>
  </si>
  <si>
    <t xml:space="preserve">3) PwC has not verified the accuracy or audited in any way, any of the information contained in this model. </t>
  </si>
  <si>
    <t xml:space="preserve">5) The model is provided by electronic means. The PwC does not guarantee that the file is free from computer viruses or other factors </t>
  </si>
  <si>
    <t xml:space="preserve">6) The model has been designed so that the user can change some of the variables in order to consider alternative outcomes. The PwC is </t>
  </si>
  <si>
    <t>Summary</t>
  </si>
  <si>
    <t xml:space="preserve">The Model of economic effects of fiscal support for NSW Greyhound racing industry ("Model") has been provided to the NSW Treasury on the </t>
  </si>
  <si>
    <t>Total book makers</t>
  </si>
  <si>
    <t>Throughbred wagering turnover</t>
  </si>
  <si>
    <t>Total Pari-Mutuel</t>
  </si>
  <si>
    <t>Bookmakers Face to Face</t>
  </si>
  <si>
    <t xml:space="preserve">Total Bookmakers </t>
  </si>
  <si>
    <t>Total wagering</t>
  </si>
  <si>
    <t>Greyhound wagering turnover</t>
  </si>
  <si>
    <t>Harness wagering turnover</t>
  </si>
  <si>
    <t>E.2 NSW DATA</t>
  </si>
  <si>
    <t>Thoroughbred wagering turnover</t>
  </si>
  <si>
    <t>Thorougbred</t>
  </si>
  <si>
    <t>Greyhound</t>
  </si>
  <si>
    <t>Harness</t>
  </si>
  <si>
    <t>Tax revenue</t>
  </si>
  <si>
    <t>Australian Racing Factbook</t>
  </si>
  <si>
    <t>Table 88. Thoroughbred, Hardness &amp; Greyhound Wagering Turnover by State2002-2013 ($M - TAB and Bookmaker)</t>
  </si>
  <si>
    <t>* Note that from 2008/09 ARF reported greyhound and harness together</t>
  </si>
  <si>
    <t>2012/13</t>
  </si>
  <si>
    <t>2011/12</t>
  </si>
  <si>
    <t>2010/11</t>
  </si>
  <si>
    <t>2009/10</t>
  </si>
  <si>
    <t>2008/09*</t>
  </si>
  <si>
    <t>2007/08</t>
  </si>
  <si>
    <t>2006/07</t>
  </si>
  <si>
    <t>2005/06</t>
  </si>
  <si>
    <t>2004/05</t>
  </si>
  <si>
    <t>2003/04</t>
  </si>
  <si>
    <t>2002/03</t>
  </si>
  <si>
    <t>Thoroughbred</t>
  </si>
  <si>
    <t>Sports / Other</t>
  </si>
  <si>
    <t>-</t>
  </si>
  <si>
    <t>Index</t>
  </si>
  <si>
    <t>1. Disclaimers</t>
  </si>
  <si>
    <t>3. Summary results</t>
  </si>
  <si>
    <t>2. Scenarios</t>
  </si>
  <si>
    <t>Scenario A</t>
  </si>
  <si>
    <t>Description</t>
  </si>
  <si>
    <t>How we modelled</t>
  </si>
  <si>
    <t>Model calibration</t>
  </si>
  <si>
    <t>The NSW Government amends the inter-code agreement (ICA) such that the returns to each code from</t>
  </si>
  <si>
    <t>TAB distributions are in proportion to the percentage of gross wagering generated by each code. This</t>
  </si>
  <si>
    <t>scenario results in a transfer of revenue from one part of the racing industry to another, with no direct</t>
  </si>
  <si>
    <t>cost to the NSWGovernment</t>
  </si>
  <si>
    <t>Not modelled</t>
  </si>
  <si>
    <t>Scenario B</t>
  </si>
  <si>
    <t>The NSW Government provides $154 million in funding to the greyhound racing industry over 5 years.</t>
  </si>
  <si>
    <t>This funding is to be sourced by applying a differential tax rate of zero per cent on wagering on</t>
  </si>
  <si>
    <t>the NSWGovernment will provide ongoing funding to the greyhound racing industry equal to the</t>
  </si>
  <si>
    <t>difference between the current return paid to the industry under the inter-code agreement and</t>
  </si>
  <si>
    <t>what it would be if it were based on market share. This funding is to be sourced by applying a</t>
  </si>
  <si>
    <t>differential tax rate on wagering on greyhound races in NSW</t>
  </si>
  <si>
    <t>Zero wagering tax rate for five years (same years as above)</t>
  </si>
  <si>
    <t>Estimated the tab distributions based on the code and tax revenue collections</t>
  </si>
  <si>
    <t>(i)</t>
  </si>
  <si>
    <t>(ii)</t>
  </si>
  <si>
    <t xml:space="preserve">greyhound races in NSW. </t>
  </si>
  <si>
    <t>After $154 million has been returned to the industry through the tax system,</t>
  </si>
  <si>
    <t xml:space="preserve">This has direct fiscal impact </t>
  </si>
  <si>
    <t>greyhound tax rate is adjusted to reflect the on going funding support of $15m</t>
  </si>
  <si>
    <t>Difference is around $11m (not $15m)</t>
  </si>
  <si>
    <t>Greyhound racing industry gross value added - Australia</t>
  </si>
  <si>
    <t>Greyhound racing industry gross value added - NSW</t>
  </si>
  <si>
    <t>From 19-20 onwards $15m additional funding</t>
  </si>
  <si>
    <t>Production subsidy</t>
  </si>
  <si>
    <t>Scenario C</t>
  </si>
  <si>
    <t xml:space="preserve">Provide temporary funding to the greyhound industry, via a differential tax basis, of an amount </t>
  </si>
  <si>
    <t xml:space="preserve">equal to the difference between the current return paid to the industry under the inter-code </t>
  </si>
  <si>
    <t>agreement and what it would be if were based on market share.</t>
  </si>
  <si>
    <t>Amend the inter-code agreement to provide that the returns to each code are in</t>
  </si>
  <si>
    <t xml:space="preserve"> proportion to the percentage of wagering generated by each code, with the amended </t>
  </si>
  <si>
    <t>distribution split into fixed and variable components</t>
  </si>
  <si>
    <t xml:space="preserve">Provide Government assistance, on a temporary basis, to the other two racing codes </t>
  </si>
  <si>
    <t>after the inter-code has been amended to replace any lost revenue resulting from the changes to the inter-code.</t>
  </si>
  <si>
    <t>Scenario D</t>
  </si>
  <si>
    <t xml:space="preserve">The NSW Government amends the Racing administration Regulation 2012 to remove the </t>
  </si>
  <si>
    <t xml:space="preserve">race fields levy cap of 1.5 per cent of wagering turnover.  Removal of the cap would enable </t>
  </si>
  <si>
    <t>greyhounds to set a higher rate</t>
  </si>
  <si>
    <t>Assumptions:</t>
  </si>
  <si>
    <t>1. Greyhounds set a race fields levy sufficient to raise an additional $15million pe year</t>
  </si>
  <si>
    <t>2. Racy field levy unchanged for throughbreds and trots</t>
  </si>
  <si>
    <t>3. Subsitutability of one race to the other</t>
  </si>
  <si>
    <t>Scenario E</t>
  </si>
  <si>
    <t>The NSW Government reduces its taxation rate on race wagering to equal that of Victoria.</t>
  </si>
  <si>
    <t>Economic effects of fiscal support for the NSW GREYHOUND racing industry: DRAFT</t>
  </si>
  <si>
    <t>4.1  NSW Thorougbred</t>
  </si>
  <si>
    <t>4.2  NSW Greyhound</t>
  </si>
  <si>
    <t>4.3  NSW Harness</t>
  </si>
  <si>
    <t>4.4 Summary</t>
  </si>
  <si>
    <t>Total TAB turnover</t>
  </si>
  <si>
    <t>Scenarios</t>
  </si>
  <si>
    <t xml:space="preserve">Annual additional fuding to greyhound $31.8m for five years </t>
  </si>
  <si>
    <t>set tax rate to zero;</t>
  </si>
  <si>
    <t>set assistance to 31.8m</t>
  </si>
  <si>
    <t>Wagering tax policy change: Victorian rates to NSW greyhound</t>
  </si>
  <si>
    <t xml:space="preserve">NSW Racing </t>
  </si>
  <si>
    <t>Vic tax rate 7.6%</t>
  </si>
  <si>
    <t>NSW tax rate on player losses 19.11%</t>
  </si>
  <si>
    <t>Expected rax revneue from racing $159m 2014-15</t>
  </si>
  <si>
    <t xml:space="preserve">Reduction in tax rate to </t>
  </si>
  <si>
    <t>Vic rate from 19.11% to 7.6%</t>
  </si>
  <si>
    <t>NSW Government revenue, cumulative</t>
  </si>
  <si>
    <t>NSW Government revenue, annual</t>
  </si>
  <si>
    <t>Greyhound funding, annual</t>
  </si>
  <si>
    <t>Greyhound funding, cumulative</t>
  </si>
  <si>
    <t>6. Scenario C: Funding based on differential tax base</t>
  </si>
  <si>
    <t>Direct impacts</t>
  </si>
  <si>
    <t>persons</t>
  </si>
  <si>
    <t>Thoroughbreds funding, annual</t>
  </si>
  <si>
    <t>Thoroughbreds funding, cumuative</t>
  </si>
  <si>
    <t>Harness funding, annual</t>
  </si>
  <si>
    <t>harness funding, cumulative</t>
  </si>
  <si>
    <t>7. Scenario D: Racing field levy rate that raise an additional $15m</t>
  </si>
  <si>
    <t>Racing filed levy cap @1.5%</t>
  </si>
  <si>
    <t>Cap removal to raise $15m</t>
  </si>
  <si>
    <t>Scenario D: Race fields levy cap removal</t>
  </si>
  <si>
    <t>Access Economics (2010) Report</t>
  </si>
  <si>
    <t>IGVA for greyound in NSW 2009</t>
  </si>
  <si>
    <t>direct VA</t>
  </si>
  <si>
    <t>indirect VA</t>
  </si>
  <si>
    <t>92 Gambling activities</t>
  </si>
  <si>
    <t>IGVA</t>
  </si>
  <si>
    <t>2010–11</t>
  </si>
  <si>
    <t>2011–12</t>
  </si>
  <si>
    <t>2012–13</t>
  </si>
  <si>
    <t>Detailed Product Report, 2009-10, $million</t>
  </si>
  <si>
    <t/>
  </si>
  <si>
    <t>IOPC 91210010</t>
  </si>
  <si>
    <t>Horse and dog racing, administration and track operation</t>
  </si>
  <si>
    <t>USE</t>
  </si>
  <si>
    <t>SUPPLY</t>
  </si>
  <si>
    <t>Use</t>
  </si>
  <si>
    <t>Wholesale</t>
  </si>
  <si>
    <t>Food and beverage</t>
  </si>
  <si>
    <t>Road transport</t>
  </si>
  <si>
    <t>Rail transport</t>
  </si>
  <si>
    <t>Pipeline transport</t>
  </si>
  <si>
    <t>Water transport</t>
  </si>
  <si>
    <t>Air transport</t>
  </si>
  <si>
    <t>Stevedoring</t>
  </si>
  <si>
    <t>Marine insurance</t>
  </si>
  <si>
    <t>Gas</t>
  </si>
  <si>
    <t>Electricity</t>
  </si>
  <si>
    <t>Sales Tax</t>
  </si>
  <si>
    <t>GST</t>
  </si>
  <si>
    <t>Import Duties</t>
  </si>
  <si>
    <t>Taxes NEI</t>
  </si>
  <si>
    <t>Subsidies</t>
  </si>
  <si>
    <t>INDUSTRY</t>
  </si>
  <si>
    <t>Basic Price</t>
  </si>
  <si>
    <t>Purch.Price</t>
  </si>
  <si>
    <t>Margin</t>
  </si>
  <si>
    <t>9101 Sports and Recreation</t>
  </si>
  <si>
    <t>n.p.</t>
  </si>
  <si>
    <t>5601 Broadcasting (except Internet)</t>
  </si>
  <si>
    <t>Australian Production</t>
  </si>
  <si>
    <t>9201 Gambling</t>
  </si>
  <si>
    <t>Imports</t>
  </si>
  <si>
    <t>Total Intermediate Use</t>
  </si>
  <si>
    <t>Total Supply</t>
  </si>
  <si>
    <t>Household final consumption expenditure</t>
  </si>
  <si>
    <t>Government final consumption expenditure</t>
  </si>
  <si>
    <t>Gross fixed capital formation - private corporations</t>
  </si>
  <si>
    <t>Gross fixed capital formation - public corporations</t>
  </si>
  <si>
    <t>Gross fixed capital formation - government DWP</t>
  </si>
  <si>
    <t>Gross fixed capital formation - government other</t>
  </si>
  <si>
    <t>Change in Inventories</t>
  </si>
  <si>
    <t>Exports (excluding reexports)</t>
  </si>
  <si>
    <t>Reexports</t>
  </si>
  <si>
    <t>Total Use</t>
  </si>
  <si>
    <t>IOPC 91290010</t>
  </si>
  <si>
    <t>Racing horse or dog training and stable (kennel) operation</t>
  </si>
  <si>
    <t>0102 Poultry and Other Livestock</t>
  </si>
  <si>
    <t>IOPC 92090010</t>
  </si>
  <si>
    <t>Total supply</t>
  </si>
  <si>
    <t>IGVA/Supply</t>
  </si>
  <si>
    <t>Sports receration</t>
  </si>
  <si>
    <t>Gambling</t>
  </si>
  <si>
    <t>Racing</t>
  </si>
  <si>
    <t>Adjusted based on the turnover (wagering)</t>
  </si>
  <si>
    <t>Industry gross value added</t>
  </si>
  <si>
    <t>Growth rates</t>
  </si>
  <si>
    <t>0.58% GDP of thoroughbred (includes direct and indirect)</t>
  </si>
  <si>
    <t>Submission to PC</t>
  </si>
  <si>
    <t>8. Scenario E: Taxation rate on NSW race wagering to equal that of Victoria rate</t>
  </si>
  <si>
    <t>Direct impacts (shocks)</t>
  </si>
  <si>
    <t>Funding received by greyhound association</t>
  </si>
  <si>
    <t>Scenario B: $154m in funding to the greyhound over 5 years and $15m after</t>
  </si>
  <si>
    <t>Government funding</t>
  </si>
  <si>
    <t>Funding received by Thoroughbred association</t>
  </si>
  <si>
    <t>Funding received by Harness association</t>
  </si>
  <si>
    <t>Amounts wagered</t>
  </si>
  <si>
    <t>by Thoroughbred association</t>
  </si>
  <si>
    <t>by greyhound association</t>
  </si>
  <si>
    <t>by Harness association</t>
  </si>
  <si>
    <t>Thoroughbred association</t>
  </si>
  <si>
    <t>Greyhound association</t>
  </si>
  <si>
    <t>Harness association</t>
  </si>
  <si>
    <t>Industry employment</t>
  </si>
  <si>
    <t xml:space="preserve"> All other industries</t>
  </si>
  <si>
    <t>Racing industry</t>
  </si>
  <si>
    <t>by Racing industry</t>
  </si>
  <si>
    <t xml:space="preserve">Gross Sate Product </t>
  </si>
  <si>
    <t>NSW government tax revenue</t>
  </si>
  <si>
    <t>Basline (levels)</t>
  </si>
  <si>
    <t>Policy (levels)</t>
  </si>
  <si>
    <t>Policy impact (levels)</t>
  </si>
  <si>
    <t>Policy impact (%) cumulative</t>
  </si>
  <si>
    <t>4. Wagering turnover by racing code</t>
  </si>
  <si>
    <t>HISTORY</t>
  </si>
  <si>
    <t>FORECASTS</t>
  </si>
  <si>
    <t>NSW Treasury</t>
  </si>
  <si>
    <t>Total levy revenue raised</t>
  </si>
  <si>
    <t>Race fields information use fees received by GRNSW</t>
  </si>
  <si>
    <t>Race fields information use fees that would be recived by GRNSW with its current fee policy if the cap was removed</t>
  </si>
  <si>
    <t>Source: Inquiry into Greyhound Racing in NSW, Submission No 380, page 21</t>
  </si>
  <si>
    <t>Persons</t>
  </si>
  <si>
    <t>Taxes less subsidies on products</t>
  </si>
  <si>
    <t>Policy impact (levels) cumulative</t>
  </si>
  <si>
    <t xml:space="preserve">Gross State Product </t>
  </si>
  <si>
    <t>Policy (levels): Scenario B fiscal assistance to greyhound</t>
  </si>
  <si>
    <t>Table 11 TAXATION, New South Wales State and Local Governments</t>
  </si>
  <si>
    <t>$m</t>
  </si>
  <si>
    <t>Taxes on employers' payroll and labour force</t>
  </si>
  <si>
    <t>Employers' payroll taxes</t>
  </si>
  <si>
    <t>Taxes on property</t>
  </si>
  <si>
    <t>Taxes on immovable property</t>
  </si>
  <si>
    <t>Land taxes</t>
  </si>
  <si>
    <t>Municipal rates</t>
  </si>
  <si>
    <t>Taxes on financial and capital transactions</t>
  </si>
  <si>
    <t>Financial institutions transactions taxes</t>
  </si>
  <si>
    <t>Government borrowing guarantee levies</t>
  </si>
  <si>
    <t>Stamp duties on conveyances</t>
  </si>
  <si>
    <t>Other stamp duties</t>
  </si>
  <si>
    <t>Taxes on the provision of goods and services</t>
  </si>
  <si>
    <t>Agricultural production taxes</t>
  </si>
  <si>
    <t>Levies on statutory corporations</t>
  </si>
  <si>
    <t>Taxes on gambling</t>
  </si>
  <si>
    <t>Taxes on government lotteries</t>
  </si>
  <si>
    <t>Taxes on private lotteries</t>
  </si>
  <si>
    <t>Taxes on gambling machines</t>
  </si>
  <si>
    <t>Casino taxes</t>
  </si>
  <si>
    <t>Race betting taxes</t>
  </si>
  <si>
    <t>Taxes on gambling n.e.c.</t>
  </si>
  <si>
    <t>Taxes on insurance</t>
  </si>
  <si>
    <t>Insurance companies contributions to fire brigades</t>
  </si>
  <si>
    <t>Third party insurance taxes</t>
  </si>
  <si>
    <t>Taxes on insurance n.e.c.</t>
  </si>
  <si>
    <t>Taxes on the use of goods and performance of activities</t>
  </si>
  <si>
    <t>Motor vehicle taxes</t>
  </si>
  <si>
    <t>Stamp duty on vehicle registration</t>
  </si>
  <si>
    <t>Franchise taxes</t>
  </si>
  <si>
    <t>Gas taxes</t>
  </si>
  <si>
    <t>Petroleum products taxes</t>
  </si>
  <si>
    <t>Tobacco taxes</t>
  </si>
  <si>
    <t>Liquor taxes</t>
  </si>
  <si>
    <t>Taxes received from public corporations</t>
  </si>
  <si>
    <t>Taxes received from other levels of government</t>
  </si>
  <si>
    <t>Wagering turnover by racing code</t>
  </si>
  <si>
    <t>Appendix A Definition</t>
  </si>
  <si>
    <t>Appendix B State taxes</t>
  </si>
  <si>
    <t>Appendix C Industry details</t>
  </si>
  <si>
    <t>Scenario B: $154m funding plus differential tax benefits</t>
  </si>
  <si>
    <t>Scenario E: Wagering tax rate in align with Vic tax rate</t>
  </si>
  <si>
    <t>in the fiscal item ‘Government transfers to households’.</t>
  </si>
  <si>
    <t>The role of government plays a part in determining the impacts of a simulation.</t>
  </si>
  <si>
    <t>The following fiscal closure assumptions have been applied:</t>
  </si>
  <si>
    <t>Policy impact (levels), Cumulative</t>
  </si>
  <si>
    <t>Government remove the Race Fields Levy Cap (currently equal to 1.5% of turnover) to enable Greyhound Industry (and other racing industry codes) to use market forces to determine the</t>
  </si>
  <si>
    <t>appropriate contribution from corporate book makers to racing codes to access to product</t>
  </si>
  <si>
    <t>Incremental benefit to GRNSW</t>
  </si>
  <si>
    <t>4.5 Current Funding based on the Inter code agreement</t>
  </si>
  <si>
    <t>1) real government consumption (Commonwealth and States) is fixed; and</t>
  </si>
  <si>
    <t>2) government budget balances (Commonwealth and States) are fixed, via changes</t>
  </si>
  <si>
    <t>3) Current account balance is fixed to accommodate saving rate</t>
  </si>
  <si>
    <t>Government funding (based on current intercode agreement)</t>
  </si>
  <si>
    <t>Government funding (Temporary for 5 years)</t>
  </si>
  <si>
    <t>Policy impact (%) cumulative deviation from baseline</t>
  </si>
  <si>
    <t>TEMPORARY (C1 Scenario)</t>
  </si>
  <si>
    <t>Baseline (levels)</t>
  </si>
  <si>
    <t xml:space="preserve">Victoria currently imposes a tax rate of 7.6 per cent of gross returns, </t>
  </si>
  <si>
    <t>while NSW imposes a tax rate of 19.11 per cent. NSW race wagering</t>
  </si>
  <si>
    <t xml:space="preserve"> revenue is forecast at $159 million in 2014-15, so this proposal implies</t>
  </si>
  <si>
    <t xml:space="preserve"> reducing the NSW Government’s tax revenue by $96 million to </t>
  </si>
  <si>
    <t>$63 million.</t>
  </si>
  <si>
    <r>
      <t xml:space="preserve">The returns to punters will remain </t>
    </r>
    <r>
      <rPr>
        <u/>
        <sz val="11"/>
        <color theme="1"/>
        <rFont val="Calibri"/>
        <family val="2"/>
        <scheme val="minor"/>
      </rPr>
      <t>unchanged</t>
    </r>
    <r>
      <rPr>
        <sz val="11"/>
        <color theme="1"/>
        <rFont val="Calibri"/>
        <family val="2"/>
        <scheme val="minor"/>
      </rPr>
      <t xml:space="preserve"> at 84% of NSW TAB’s </t>
    </r>
  </si>
  <si>
    <t xml:space="preserve">turnover (this implies that there is no direct increase in demand for </t>
  </si>
  <si>
    <t xml:space="preserve">wagering).  The benefits of the reduced tax revenue (ie $96 million) </t>
  </si>
  <si>
    <t xml:space="preserve">will be shared among the three racing codes according to the existing </t>
  </si>
  <si>
    <t xml:space="preserve">inter-code agreement.  That is, in 2014-15 the RDA pool would increase </t>
  </si>
  <si>
    <t xml:space="preserve">from $250 million to $346 million, of which greyhounds would receive </t>
  </si>
  <si>
    <t xml:space="preserve">13% ($45 million), thoroughbreds would receive 70% ($242 million) </t>
  </si>
  <si>
    <t>and harness racing would receive 17% ($59 million).</t>
  </si>
  <si>
    <t>RDA pool (baseline)</t>
  </si>
  <si>
    <t>RDA pool in scenario E</t>
  </si>
  <si>
    <t>In 2012-13, the NSW racing industry received $249.8 million under the Racing Distribution Agreement.  This was divided under the inter-code agreement as follows:</t>
  </si>
  <si>
    <t>Thoroughbreds</t>
  </si>
  <si>
    <t>$174.9 million</t>
  </si>
  <si>
    <t>Harness Racing</t>
  </si>
  <si>
    <t>$42.5 million</t>
  </si>
  <si>
    <t>Greyhound Racing Association</t>
  </si>
  <si>
    <t>$32.5 million</t>
  </si>
  <si>
    <t>Depending on the actual market share of greyhounds, if the intercode agreement were amended to reflect market shares, and $250 million were available for distribution, greyhounds would receive the following amounts:</t>
  </si>
  <si>
    <t>Market share</t>
  </si>
  <si>
    <t>Total funding ($m)</t>
  </si>
  <si>
    <t>Additional amount ($m)</t>
  </si>
  <si>
    <t xml:space="preserve">NSW tax revenue in 2012-13 from racing was $156 million.  This is forecast to increase to $159 million in 2014-15.  Applying the same growth rate to the racing industry’s distributions, the pool available for distribution in 2014-15 could be expected to be $254.6 million.  </t>
  </si>
  <si>
    <t>Scenario B proposal</t>
  </si>
  <si>
    <t>That the NSW Government:</t>
  </si>
  <si>
    <r>
      <t>·</t>
    </r>
    <r>
      <rPr>
        <sz val="7"/>
        <color theme="1"/>
        <rFont val="Times New Roman"/>
        <family val="1"/>
      </rPr>
      <t xml:space="preserve">         </t>
    </r>
    <r>
      <rPr>
        <sz val="11"/>
        <color theme="1"/>
        <rFont val="Calibri"/>
        <family val="2"/>
        <scheme val="minor"/>
      </rPr>
      <t>Provide $154 million in funding to the greyhound racing industry over 5 years, to be sourced by applying a differential tax rate of 0.0 per cent on wagering on greyhound races in NSW, and that after this amount has been returned to the industry.</t>
    </r>
  </si>
  <si>
    <r>
      <t>·</t>
    </r>
    <r>
      <rPr>
        <sz val="7"/>
        <color theme="1"/>
        <rFont val="Times New Roman"/>
        <family val="1"/>
      </rPr>
      <t xml:space="preserve">         </t>
    </r>
    <r>
      <rPr>
        <sz val="11"/>
        <color theme="1"/>
        <rFont val="Calibri"/>
        <family val="2"/>
        <scheme val="minor"/>
      </rPr>
      <t>Provide ongoing funding to the greyhound racing industry equal to the difference between the current return paid to the industry under the inter-code agreement and what it would be it was based on market share, and that this funding be sourced by applying a differential tax rate on wagering on greyhound racing in NSW.</t>
    </r>
  </si>
  <si>
    <t>Scenario B interpretation</t>
  </si>
  <si>
    <t>We understand that greyhound racing’s market share in 2014-15 is 19% of total racing revenue [The modeller may vary this assumption, depending on the available data].</t>
  </si>
  <si>
    <t>Applying a differential tax rate of zero percent on greyhound wagering is assumed to reduce tax revenue by 19% of the total.  There is no change to the tax rate applying to the proceeds of thoroughbred racing or harness racing.  Tax revenue will fall from the forecast $159 million in 2014-15 to $128.8 million.  The direct impact on NSW tax revenue is a reduction of $30.2 million in 2014-15.</t>
  </si>
  <si>
    <t>This will increase the RDA pool by $30.2 million per year, and all of this increase is passed to the Greyhound Racing Association.  The amounts distributed to thoroughbreds and harness racing will not change.</t>
  </si>
  <si>
    <t>This arrangement will continue for five years.  The modeller should include assumptions about the growth of tax revenue and greyhound racing’s market share.  The amount of additional funding received by greyhound racing is expected to total around $154 million over the course of these five years.</t>
  </si>
  <si>
    <t>At the end of these five years (ie beginning in 2019-20) the following steps should occur:</t>
  </si>
  <si>
    <r>
      <t>·</t>
    </r>
    <r>
      <rPr>
        <sz val="7"/>
        <color theme="1"/>
        <rFont val="Times New Roman"/>
        <family val="1"/>
      </rPr>
      <t xml:space="preserve">         </t>
    </r>
    <r>
      <rPr>
        <sz val="11"/>
        <color theme="1"/>
        <rFont val="Calibri"/>
        <family val="2"/>
        <scheme val="minor"/>
      </rPr>
      <t>A.  What is the total pool available under the RDA?</t>
    </r>
  </si>
  <si>
    <r>
      <t>·</t>
    </r>
    <r>
      <rPr>
        <sz val="7"/>
        <color theme="1"/>
        <rFont val="Times New Roman"/>
        <family val="1"/>
      </rPr>
      <t xml:space="preserve">         </t>
    </r>
    <r>
      <rPr>
        <sz val="11"/>
        <color theme="1"/>
        <rFont val="Calibri"/>
        <family val="2"/>
        <scheme val="minor"/>
      </rPr>
      <t>B.  Greyhound Racing Association’s share of this under the current Intercode Agreement is 13% x A.</t>
    </r>
  </si>
  <si>
    <r>
      <t>·</t>
    </r>
    <r>
      <rPr>
        <sz val="7"/>
        <color theme="1"/>
        <rFont val="Times New Roman"/>
        <family val="1"/>
      </rPr>
      <t xml:space="preserve">         </t>
    </r>
    <r>
      <rPr>
        <sz val="11"/>
        <color theme="1"/>
        <rFont val="Calibri"/>
        <family val="2"/>
        <scheme val="minor"/>
      </rPr>
      <t>C.  What is Greyhound’s market share?</t>
    </r>
  </si>
  <si>
    <r>
      <t>·</t>
    </r>
    <r>
      <rPr>
        <sz val="7"/>
        <color theme="1"/>
        <rFont val="Times New Roman"/>
        <family val="1"/>
      </rPr>
      <t xml:space="preserve">         </t>
    </r>
    <r>
      <rPr>
        <sz val="11"/>
        <color theme="1"/>
        <rFont val="Calibri"/>
        <family val="2"/>
        <scheme val="minor"/>
      </rPr>
      <t>D.  How much money would Greyhounds receive if the intercode reflected actual market share? That is: C x A.</t>
    </r>
  </si>
  <si>
    <r>
      <t>·</t>
    </r>
    <r>
      <rPr>
        <sz val="7"/>
        <color theme="1"/>
        <rFont val="Times New Roman"/>
        <family val="1"/>
      </rPr>
      <t xml:space="preserve">         </t>
    </r>
    <r>
      <rPr>
        <sz val="11"/>
        <color theme="1"/>
        <rFont val="Calibri"/>
        <family val="2"/>
        <scheme val="minor"/>
      </rPr>
      <t>E.  What is the additional funding to be provided to Greyhounds? Ie D – B.</t>
    </r>
  </si>
  <si>
    <r>
      <t>·</t>
    </r>
    <r>
      <rPr>
        <sz val="7"/>
        <color theme="1"/>
        <rFont val="Times New Roman"/>
        <family val="1"/>
      </rPr>
      <t xml:space="preserve">         </t>
    </r>
    <r>
      <rPr>
        <sz val="11"/>
        <color theme="1"/>
        <rFont val="Calibri"/>
        <family val="2"/>
        <scheme val="minor"/>
      </rPr>
      <t>F. What is the total expected tax revenue with no policy changes</t>
    </r>
  </si>
  <si>
    <r>
      <t>·</t>
    </r>
    <r>
      <rPr>
        <sz val="7"/>
        <color theme="1"/>
        <rFont val="Times New Roman"/>
        <family val="1"/>
      </rPr>
      <t xml:space="preserve">         </t>
    </r>
    <r>
      <rPr>
        <sz val="11"/>
        <color theme="1"/>
        <rFont val="Calibri"/>
        <family val="2"/>
        <scheme val="minor"/>
      </rPr>
      <t>G. What is the greyhound racing industry’s share of this expected tax revenue? C x E</t>
    </r>
  </si>
  <si>
    <r>
      <t>·</t>
    </r>
    <r>
      <rPr>
        <sz val="7"/>
        <color theme="1"/>
        <rFont val="Times New Roman"/>
        <family val="1"/>
      </rPr>
      <t xml:space="preserve">         </t>
    </r>
    <r>
      <rPr>
        <sz val="11"/>
        <color theme="1"/>
        <rFont val="Calibri"/>
        <family val="2"/>
        <scheme val="minor"/>
      </rPr>
      <t>H. Lower the tax rate applying to NSW greyhound racing by an amount that reduces revenue by E.  There is no change to the tax rate applying to thoroughbred or harness racing.  By what percentage should the tax rate on greyhound racing be reduced? E/G.</t>
    </r>
  </si>
  <si>
    <r>
      <t>·</t>
    </r>
    <r>
      <rPr>
        <sz val="7"/>
        <color theme="1"/>
        <rFont val="Times New Roman"/>
        <family val="1"/>
      </rPr>
      <t xml:space="preserve">         </t>
    </r>
    <r>
      <rPr>
        <sz val="11"/>
        <color theme="1"/>
        <rFont val="Calibri"/>
        <family val="2"/>
        <scheme val="minor"/>
      </rPr>
      <t>I.  Permit the Greyhounds to receive all of the additional amount E that is now available to the RDA pool.  The funds received by thoroughbreds and harness racing are unchanged.</t>
    </r>
  </si>
  <si>
    <t>Performing these calculations in 2014-15 would give the following sums:</t>
  </si>
  <si>
    <r>
      <t>·</t>
    </r>
    <r>
      <rPr>
        <sz val="7"/>
        <color theme="1"/>
        <rFont val="Times New Roman"/>
        <family val="1"/>
      </rPr>
      <t xml:space="preserve">         </t>
    </r>
    <r>
      <rPr>
        <sz val="11"/>
        <color theme="1"/>
        <rFont val="Calibri"/>
        <family val="2"/>
        <scheme val="minor"/>
      </rPr>
      <t>A = $250 million</t>
    </r>
  </si>
  <si>
    <r>
      <t>·</t>
    </r>
    <r>
      <rPr>
        <sz val="7"/>
        <color theme="1"/>
        <rFont val="Times New Roman"/>
        <family val="1"/>
      </rPr>
      <t xml:space="preserve">         </t>
    </r>
    <r>
      <rPr>
        <sz val="11"/>
        <color theme="1"/>
        <rFont val="Calibri"/>
        <family val="2"/>
        <scheme val="minor"/>
      </rPr>
      <t>B = $32.5 million</t>
    </r>
  </si>
  <si>
    <r>
      <t>·</t>
    </r>
    <r>
      <rPr>
        <sz val="7"/>
        <color theme="1"/>
        <rFont val="Times New Roman"/>
        <family val="1"/>
      </rPr>
      <t xml:space="preserve">         </t>
    </r>
    <r>
      <rPr>
        <sz val="11"/>
        <color theme="1"/>
        <rFont val="Calibri"/>
        <family val="2"/>
        <scheme val="minor"/>
      </rPr>
      <t>C = 19%</t>
    </r>
  </si>
  <si>
    <r>
      <t>·</t>
    </r>
    <r>
      <rPr>
        <sz val="7"/>
        <color theme="1"/>
        <rFont val="Times New Roman"/>
        <family val="1"/>
      </rPr>
      <t xml:space="preserve">         </t>
    </r>
    <r>
      <rPr>
        <sz val="11"/>
        <color theme="1"/>
        <rFont val="Calibri"/>
        <family val="2"/>
        <scheme val="minor"/>
      </rPr>
      <t>D = 19% x $250 million = $47.5 million</t>
    </r>
  </si>
  <si>
    <r>
      <t>·</t>
    </r>
    <r>
      <rPr>
        <sz val="7"/>
        <color theme="1"/>
        <rFont val="Times New Roman"/>
        <family val="1"/>
      </rPr>
      <t xml:space="preserve">         </t>
    </r>
    <r>
      <rPr>
        <sz val="11"/>
        <color theme="1"/>
        <rFont val="Calibri"/>
        <family val="2"/>
        <scheme val="minor"/>
      </rPr>
      <t>E = 47.5 – 32.5 = $15 million</t>
    </r>
  </si>
  <si>
    <r>
      <t>·</t>
    </r>
    <r>
      <rPr>
        <sz val="7"/>
        <color theme="1"/>
        <rFont val="Times New Roman"/>
        <family val="1"/>
      </rPr>
      <t xml:space="preserve">         </t>
    </r>
    <r>
      <rPr>
        <sz val="11"/>
        <color theme="1"/>
        <rFont val="Calibri"/>
        <family val="2"/>
        <scheme val="minor"/>
      </rPr>
      <t>F.  $159 million</t>
    </r>
  </si>
  <si>
    <r>
      <t>·</t>
    </r>
    <r>
      <rPr>
        <sz val="7"/>
        <color theme="1"/>
        <rFont val="Times New Roman"/>
        <family val="1"/>
      </rPr>
      <t xml:space="preserve">         </t>
    </r>
    <r>
      <rPr>
        <sz val="11"/>
        <color theme="1"/>
        <rFont val="Calibri"/>
        <family val="2"/>
        <scheme val="minor"/>
      </rPr>
      <t>G. $30.21 million</t>
    </r>
  </si>
  <si>
    <r>
      <t>·</t>
    </r>
    <r>
      <rPr>
        <sz val="7"/>
        <color theme="1"/>
        <rFont val="Times New Roman"/>
        <family val="1"/>
      </rPr>
      <t xml:space="preserve">         </t>
    </r>
    <r>
      <rPr>
        <sz val="11"/>
        <color theme="1"/>
        <rFont val="Calibri"/>
        <family val="2"/>
        <scheme val="minor"/>
      </rPr>
      <t>H.  15/30.2 = 50% reduction in the tax rate applying to wagers on greyhound racing.</t>
    </r>
  </si>
  <si>
    <t>Using 2014-15 data, the Government’s direct revenue loss would be $15 million and Greyhound Racing would receive an extra $15 million.  These numbers would be higher in 2019-20.</t>
  </si>
  <si>
    <r>
      <t>·</t>
    </r>
    <r>
      <rPr>
        <sz val="7"/>
        <color theme="1"/>
        <rFont val="Times New Roman"/>
        <family val="1"/>
      </rPr>
      <t xml:space="preserve">         </t>
    </r>
    <r>
      <rPr>
        <sz val="11"/>
        <color theme="1"/>
        <rFont val="Calibri"/>
        <family val="2"/>
        <scheme val="minor"/>
      </rPr>
      <t>Provide temporary funding to the greyhound industry, via a differential tax basis, of an amount equal to the difference between the current return paid to the industry under the inter-code agreement and what it would be if it was based on market share.</t>
    </r>
  </si>
  <si>
    <r>
      <t>·</t>
    </r>
    <r>
      <rPr>
        <sz val="7"/>
        <color theme="1"/>
        <rFont val="Times New Roman"/>
        <family val="1"/>
      </rPr>
      <t xml:space="preserve">         </t>
    </r>
    <r>
      <rPr>
        <sz val="11"/>
        <color theme="1"/>
        <rFont val="Calibri"/>
        <family val="2"/>
        <scheme val="minor"/>
      </rPr>
      <t>Amend the inter-code agreement to provide that the returns to each code are in proportion to the percentage of wagering generated by each code.</t>
    </r>
  </si>
  <si>
    <r>
      <t>·</t>
    </r>
    <r>
      <rPr>
        <sz val="7"/>
        <color theme="1"/>
        <rFont val="Times New Roman"/>
        <family val="1"/>
      </rPr>
      <t xml:space="preserve">         </t>
    </r>
    <r>
      <rPr>
        <sz val="11"/>
        <color theme="1"/>
        <rFont val="Calibri"/>
        <family val="2"/>
        <scheme val="minor"/>
      </rPr>
      <t>Provide Government assistance , on a temporary basis, to the other two racing codes after the inter-code has been amended to replace any lost revenue resulting from the changes to the inter-code.</t>
    </r>
  </si>
  <si>
    <t>Scenario C interpretation</t>
  </si>
  <si>
    <t>Assume that temporary funding is provided for five years.</t>
  </si>
  <si>
    <t>Following the logic of Scenario B, in 2014-15 the tax rate applying to greyhound racing would be reduced by half.  This would result in a loss of NSW Government revenue of $15 million per year.  The extra $15 million funds available to the RDA pool would be entirely allocated to Greyhounds.  The funding would grow over time reflecting the growth of the market.  This arrangement would continue for five years.</t>
  </si>
  <si>
    <t xml:space="preserve">At the end of five years (ie beginning from 2019-20), the intercode agreement would be amended to reflect market shares.  PwC forecasts in 2019-20 these shares will be thoroughbreds 77.5%; greyhounds 21.1%; harness racing 10.8%.  </t>
  </si>
  <si>
    <t>PwC should forecast the expected tax revenue and RDA pools in 2019-20.  However, for present purposes, we can approximate the funding flows using the forecast market shares combined with data from 2014-15 data for tax revenue ($159 million) and RDA pool ($250 million).  On this basis, the RDA pool would be divided as follows:</t>
  </si>
  <si>
    <t>Increase</t>
  </si>
  <si>
    <t>Greyhounds</t>
  </si>
  <si>
    <t>The Government will provide a direct fiscal grant of $15.5 million to harness racing to compensate for its lost revenue.  Assume that the Government’s assistance to harness racing will continue for five years.</t>
  </si>
  <si>
    <t>That the NSW Government amend the Racing Administration Regulation 2012 to remove the race fields levy cap of 1.5 per cent of wagering turnover.</t>
  </si>
  <si>
    <t>Scenario D interpretation</t>
  </si>
  <si>
    <t>The race fields levy cap is removed.  Only Greyhounds take advantage of the new flexibility.  They increase the levy cap by enough to generate an extra $15 million per year, all of which flows to greyhounds.  There is no change to the return to punters.  There is no change to Betting Tax revenue flowing to the Government.</t>
  </si>
  <si>
    <t>That the NSW Government reduce its taxation rate on race wagering to equal that of Victoria.</t>
  </si>
  <si>
    <t>Scenario E interpretation</t>
  </si>
  <si>
    <t>Victoria currently imposes a tax rate of 7.6 per cent of gross returns, while NSW imposes a tax rate of 19.11 per cent. NSW race wagering revenue is forecast at $159 million in 2014-15, so this proposal implies reducing the NSW Government’s tax revenue by $96 million to $63 million.</t>
  </si>
  <si>
    <r>
      <t xml:space="preserve">The returns to punters will remain </t>
    </r>
    <r>
      <rPr>
        <u/>
        <sz val="11"/>
        <color theme="1"/>
        <rFont val="Calibri"/>
        <family val="2"/>
        <scheme val="minor"/>
      </rPr>
      <t>unchanged</t>
    </r>
    <r>
      <rPr>
        <sz val="11"/>
        <color theme="1"/>
        <rFont val="Calibri"/>
        <family val="2"/>
        <scheme val="minor"/>
      </rPr>
      <t xml:space="preserve"> at 84% of NSW TAB’s turnover (this implies that there is no direct increase in demand for wagering).  The benefits of the reduced tax revenue (ie $96 million) will be shared among the three racing codes according to the existing inter-code agreement.  That is, in 2014-15 the RDA pool would increase from $250 million to $346 million, of which greyhounds would receive 13% ($45 million), thoroughbreds would receive 70% ($242 million) and harness racing would receive 17% ($59 million).</t>
    </r>
  </si>
  <si>
    <t>D. Background information</t>
  </si>
  <si>
    <t>D1. Background Information</t>
  </si>
  <si>
    <t>TOTAL funding under the Racing Distribution Agreement</t>
  </si>
  <si>
    <t>Punters</t>
  </si>
  <si>
    <t>TAB costs and dividends</t>
  </si>
  <si>
    <t>Taxes</t>
  </si>
  <si>
    <t>Racing industry distributions</t>
  </si>
  <si>
    <t>4.6 All wagering with NSW TAB</t>
  </si>
  <si>
    <t>4.7 Greyhound funding at different market shares</t>
  </si>
  <si>
    <t>TOTAL FUNDING</t>
  </si>
  <si>
    <t>ADDITIONAL FUNDING</t>
  </si>
  <si>
    <t>4.8 Scenario B interpretation and shocks</t>
  </si>
  <si>
    <t>Direct impact on tax revenue</t>
  </si>
  <si>
    <t>Tax revenue from racing</t>
  </si>
  <si>
    <t>Additional Greyhound racing funding</t>
  </si>
  <si>
    <t>Zero differential tax on greyhound for five years</t>
  </si>
  <si>
    <t>After five years</t>
  </si>
  <si>
    <t>A: What is the total pool available under RDA</t>
  </si>
  <si>
    <t>C: What is Greyhound's market share</t>
  </si>
  <si>
    <t>D: How much money would Greyhound receive if the intercode reflected actual market share?</t>
  </si>
  <si>
    <t>E: What is the additional funding to be provided to Greyhounds?</t>
  </si>
  <si>
    <t>F: What is the total expected tax revenue with no policy changes</t>
  </si>
  <si>
    <t>G: What is the greyhound racing industry's share of this expected tax revenue?</t>
  </si>
  <si>
    <t>H: Lower the tax rate by applying toNSW greyhound racing by an amount that redcues revenue by E. By what % should the tax rate on greyhound be reduced</t>
  </si>
  <si>
    <t>I: Permit the Greyhounds to receive all of the additional amount E that is now available to the RDA pool.</t>
  </si>
  <si>
    <t>J: The funds received by throughbreds and harness racing are unchanged</t>
  </si>
  <si>
    <t>B: Greyhounds's share of this under the current Intercode Agreement</t>
  </si>
  <si>
    <t>K: Direct impact on tax revenue</t>
  </si>
  <si>
    <t>4.9 Scenario C interpretation and shocks</t>
  </si>
  <si>
    <t>The tax rate applying to greyhound racing wold be reduced by half</t>
  </si>
  <si>
    <t>B1: Thoroughbreds's share of this under the current Intercode Agreement</t>
  </si>
  <si>
    <t>B2: Greyhounds's share of this under the current Intercode Agreement</t>
  </si>
  <si>
    <t>D1: How much money would Thoroughbred receive if the intercode reflected actual market share?</t>
  </si>
  <si>
    <t>D2: How much money would Greyhound receive if the intercode reflected actual market share?</t>
  </si>
  <si>
    <t>D3: How much money would Harness receive if the intercode reflected actual market share?</t>
  </si>
  <si>
    <t>E1: What is the additional funding to be provided to Thorougnreds?</t>
  </si>
  <si>
    <t>E2: What is the additional funding to be provided to Greyhounds?</t>
  </si>
  <si>
    <t>E3: What is the additional funding to be provided to Harness?</t>
  </si>
  <si>
    <t>After five years, the intercode agreement would be amended to reflect market shares</t>
  </si>
  <si>
    <t>C1: What is Thourogbred's market share (PwC Forecasts)</t>
  </si>
  <si>
    <t>C2: What is Greyhound's market share (PwC Forecasts)</t>
  </si>
  <si>
    <t>C3: What is Harness's market share (PwC Forecasts)</t>
  </si>
  <si>
    <t>Scenario C: Differential tax basis, temporary assistance</t>
  </si>
  <si>
    <t>Harness funding (fiscal grant), annual</t>
  </si>
  <si>
    <t>harness funding (fsical grant), cumulative</t>
  </si>
  <si>
    <t>Greyhound funding  (tax rate halved), annual</t>
  </si>
  <si>
    <t>Greyhound funding  (tax rate halved), cumulative</t>
  </si>
  <si>
    <t>Policy impact (levels), cumulative</t>
  </si>
  <si>
    <t>5. Scenario B: $154m funding over 5 years to greyhound &amp; 50% reduction on wagers on greyhound racing</t>
  </si>
  <si>
    <t>GSP, annual</t>
  </si>
  <si>
    <t>Annual</t>
  </si>
  <si>
    <t>Policy (levels): Scenario c (Temporary assistance)</t>
  </si>
  <si>
    <t>GSP annual</t>
  </si>
  <si>
    <t>Funding to the Greyhound from NSW Government</t>
  </si>
  <si>
    <t>Reduction in tax rate (differential tax rate)</t>
  </si>
  <si>
    <t>2023-24</t>
  </si>
  <si>
    <t>50% Reduction in tax rate (differential tax rate)</t>
  </si>
  <si>
    <t>Net tax effects include both NSW state and Commonwealth taxes</t>
  </si>
  <si>
    <t>50% Reduction in tax rate (differential tax rate on greyhound)</t>
  </si>
  <si>
    <t>Additional Funding to the Greyhound from NSW Government</t>
  </si>
  <si>
    <t>Fiscal grant to harness from NSW Government</t>
  </si>
  <si>
    <t xml:space="preserve">Additional grant to harness </t>
  </si>
  <si>
    <t>Racing tax revenue</t>
  </si>
  <si>
    <t>RDA pool</t>
  </si>
  <si>
    <t>Market shares</t>
  </si>
  <si>
    <t>RDA pool distributions based on market shares</t>
  </si>
  <si>
    <t>RDA pool distributions based on intercode agreement</t>
  </si>
  <si>
    <t>9. Figures</t>
  </si>
  <si>
    <t>SCENARIO B</t>
  </si>
  <si>
    <t>SCENARIO C</t>
  </si>
  <si>
    <t>SCENARIO D</t>
  </si>
  <si>
    <t>SCENARIO E</t>
  </si>
  <si>
    <t xml:space="preserve">Thoroughbred </t>
  </si>
  <si>
    <t xml:space="preserve">Harness </t>
  </si>
  <si>
    <t>Scenarios C: Temporary support</t>
  </si>
  <si>
    <t>Figures</t>
  </si>
  <si>
    <t>Net tax effects* (annual change)</t>
  </si>
  <si>
    <t>NSW GSP effects (annual change)</t>
  </si>
  <si>
    <r>
      <t xml:space="preserve">NSW GOVT </t>
    </r>
    <r>
      <rPr>
        <b/>
        <sz val="10"/>
        <color theme="1"/>
        <rFont val="Calibri"/>
        <family val="2"/>
        <scheme val="minor"/>
      </rPr>
      <t>DIRECT</t>
    </r>
    <r>
      <rPr>
        <sz val="10"/>
        <color theme="1"/>
        <rFont val="Calibri"/>
        <family val="2"/>
        <scheme val="minor"/>
      </rPr>
      <t xml:space="preserve"> revenue effects (annual levels)</t>
    </r>
  </si>
  <si>
    <t>Net tax effects* (cumulative change from base case)</t>
  </si>
  <si>
    <t>NSW GSP effects (cumulative change from base case)</t>
  </si>
  <si>
    <t>NSW net tax effects (cumulative change from base case)</t>
  </si>
  <si>
    <t>NSW net tax effects (annual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</si>
</sst>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6" formatCode="&quot;$&quot;#,##0;[Red]\-&quot;$&quot;#,##0"/>
    <numFmt numFmtId="8" formatCode="&quot;$&quot;#,##0.00;[Red]\-&quot;$&quot;#,##0.00"/>
    <numFmt numFmtId="43" formatCode="_-* #,##0.00_-;\-* #,##0.00_-;_-* &quot;-&quot;??_-;_-@_-"/>
    <numFmt numFmtId="164" formatCode="0.000"/>
    <numFmt numFmtId="165" formatCode="0.0"/>
    <numFmt numFmtId="166" formatCode="0.0%"/>
    <numFmt numFmtId="167" formatCode="0.0000"/>
    <numFmt numFmtId="168" formatCode="0.000000"/>
    <numFmt numFmtId="169" formatCode="0.00000"/>
    <numFmt numFmtId="170" formatCode="00000000"/>
    <numFmt numFmtId="171" formatCode="0.000%"/>
    <numFmt numFmtId="172" formatCode="###,###,###,###,##0"/>
    <numFmt numFmtId="173" formatCode="###\ ###\ ##0"/>
    <numFmt numFmtId="174" formatCode="[$$-C09]#,##0.00;[Red]&quot;-&quot;[$$-C09]#,##0.00"/>
    <numFmt numFmtId="175" formatCode="_-* #,##0_-;\-* #,##0_-;_-* &quot;-&quot;??_-;_-@_-"/>
    <numFmt numFmtId="176" formatCode="0.0000%"/>
  </numFmts>
  <fonts count="76" x14ac:knownFonts="1">
    <font>
      <sz val="11"/>
      <color theme="1"/>
      <name val="Calibri"/>
      <family val="2"/>
      <scheme val="minor"/>
    </font>
    <font>
      <sz val="11"/>
      <color theme="1"/>
      <name val="Calibri"/>
      <family val="2"/>
      <scheme val="minor"/>
    </font>
    <font>
      <b/>
      <sz val="11"/>
      <color theme="1"/>
      <name val="Calibri"/>
      <family val="2"/>
      <scheme val="minor"/>
    </font>
    <font>
      <b/>
      <i/>
      <sz val="16"/>
      <color theme="5" tint="-0.24994659260841701"/>
      <name val="Cambria"/>
      <family val="1"/>
      <scheme val="major"/>
    </font>
    <font>
      <b/>
      <i/>
      <sz val="14"/>
      <name val="Cambria"/>
      <family val="1"/>
      <scheme val="major"/>
    </font>
    <font>
      <u/>
      <sz val="11"/>
      <color theme="10"/>
      <name val="Calibri"/>
      <family val="2"/>
    </font>
    <font>
      <sz val="9"/>
      <color theme="1"/>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b/>
      <sz val="9"/>
      <color theme="1"/>
      <name val="Calibri"/>
      <family val="2"/>
      <scheme val="minor"/>
    </font>
    <font>
      <b/>
      <sz val="12"/>
      <color theme="1"/>
      <name val="Calibri"/>
      <family val="2"/>
      <scheme val="minor"/>
    </font>
    <font>
      <sz val="9"/>
      <color indexed="81"/>
      <name val="Tahoma"/>
      <family val="2"/>
    </font>
    <font>
      <b/>
      <sz val="9"/>
      <color indexed="81"/>
      <name val="Tahoma"/>
      <family val="2"/>
    </font>
    <font>
      <b/>
      <sz val="9"/>
      <color theme="0"/>
      <name val="Calibri"/>
      <family val="2"/>
      <scheme val="minor"/>
    </font>
    <font>
      <sz val="10"/>
      <color rgb="FFC00000"/>
      <name val="Calibri"/>
      <family val="2"/>
      <scheme val="minor"/>
    </font>
    <font>
      <b/>
      <i/>
      <sz val="10"/>
      <color theme="1"/>
      <name val="Calibri"/>
      <family val="2"/>
      <scheme val="minor"/>
    </font>
    <font>
      <i/>
      <sz val="10"/>
      <color theme="1"/>
      <name val="Calibri"/>
      <family val="2"/>
      <scheme val="minor"/>
    </font>
    <font>
      <sz val="10"/>
      <name val="Calibri"/>
      <family val="2"/>
      <scheme val="minor"/>
    </font>
    <font>
      <sz val="11"/>
      <name val="Calibri"/>
      <family val="2"/>
      <scheme val="minor"/>
    </font>
    <font>
      <u/>
      <sz val="11"/>
      <name val="Calibri"/>
      <family val="2"/>
    </font>
    <font>
      <b/>
      <sz val="10"/>
      <name val="Calibri"/>
      <family val="2"/>
      <scheme val="minor"/>
    </font>
    <font>
      <b/>
      <i/>
      <sz val="10"/>
      <name val="Calibri"/>
      <family val="2"/>
      <scheme val="minor"/>
    </font>
    <font>
      <sz val="11"/>
      <name val="Calibri"/>
      <family val="2"/>
    </font>
    <font>
      <b/>
      <sz val="10"/>
      <color rgb="FFC00000"/>
      <name val="Calibri"/>
      <family val="2"/>
      <scheme val="minor"/>
    </font>
    <font>
      <sz val="11"/>
      <color rgb="FFC00000"/>
      <name val="Calibri"/>
      <family val="2"/>
      <scheme val="minor"/>
    </font>
    <font>
      <b/>
      <sz val="11"/>
      <color rgb="FFC00000"/>
      <name val="Calibri"/>
      <family val="2"/>
      <scheme val="minor"/>
    </font>
    <font>
      <i/>
      <sz val="10"/>
      <name val="Calibri"/>
      <family val="2"/>
      <scheme val="minor"/>
    </font>
    <font>
      <sz val="11"/>
      <color theme="0"/>
      <name val="Calibri"/>
      <family val="2"/>
      <scheme val="minor"/>
    </font>
    <font>
      <sz val="10"/>
      <color theme="0"/>
      <name val="Calibri"/>
      <family val="2"/>
      <scheme val="minor"/>
    </font>
    <font>
      <b/>
      <sz val="16"/>
      <color theme="1"/>
      <name val="Calibri"/>
      <family val="2"/>
      <scheme val="minor"/>
    </font>
    <font>
      <b/>
      <sz val="10"/>
      <color theme="0"/>
      <name val="Calibri"/>
      <family val="2"/>
      <scheme val="minor"/>
    </font>
    <font>
      <sz val="8"/>
      <color theme="0"/>
      <name val="Calibri"/>
      <family val="2"/>
      <scheme val="minor"/>
    </font>
    <font>
      <b/>
      <sz val="11"/>
      <color theme="0"/>
      <name val="Calibri"/>
      <family val="2"/>
      <scheme val="minor"/>
    </font>
    <font>
      <sz val="8"/>
      <color theme="1"/>
      <name val="Calibri"/>
      <family val="2"/>
      <scheme val="minor"/>
    </font>
    <font>
      <sz val="11"/>
      <color theme="1"/>
      <name val="Arial"/>
      <family val="2"/>
    </font>
    <font>
      <sz val="8"/>
      <color theme="1"/>
      <name val="Arial"/>
      <family val="2"/>
    </font>
    <font>
      <b/>
      <sz val="8"/>
      <color theme="1"/>
      <name val="Arial"/>
      <family val="2"/>
    </font>
    <font>
      <b/>
      <sz val="14"/>
      <color theme="1"/>
      <name val="Calibri"/>
      <family val="2"/>
      <scheme val="minor"/>
    </font>
    <font>
      <b/>
      <sz val="11"/>
      <color theme="1"/>
      <name val="Cambria"/>
      <family val="1"/>
      <scheme val="major"/>
    </font>
    <font>
      <i/>
      <sz val="9.5"/>
      <name val="Georgia"/>
      <family val="1"/>
    </font>
    <font>
      <i/>
      <sz val="9.5"/>
      <color theme="1"/>
      <name val="Georgia"/>
      <family val="1"/>
    </font>
    <font>
      <b/>
      <i/>
      <sz val="16"/>
      <color theme="1"/>
      <name val="Arial"/>
      <family val="2"/>
    </font>
    <font>
      <b/>
      <i/>
      <u/>
      <sz val="11"/>
      <color theme="1"/>
      <name val="Arial"/>
      <family val="2"/>
    </font>
    <font>
      <sz val="9"/>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i/>
      <sz val="9"/>
      <color theme="1"/>
      <name val="Calibri"/>
      <family val="2"/>
      <scheme val="minor"/>
    </font>
    <font>
      <b/>
      <sz val="14"/>
      <color theme="0"/>
      <name val="Calibri"/>
      <family val="2"/>
      <scheme val="minor"/>
    </font>
    <font>
      <sz val="10"/>
      <color theme="9" tint="-0.499984740745262"/>
      <name val="Calibri"/>
      <family val="2"/>
      <scheme val="minor"/>
    </font>
    <font>
      <sz val="9"/>
      <color theme="9" tint="-0.499984740745262"/>
      <name val="Calibri"/>
      <family val="2"/>
      <scheme val="minor"/>
    </font>
    <font>
      <sz val="10"/>
      <name val="Arial"/>
      <family val="2"/>
    </font>
    <font>
      <sz val="8"/>
      <name val="Arial"/>
      <family val="2"/>
    </font>
    <font>
      <b/>
      <sz val="10"/>
      <name val="Arial"/>
      <family val="2"/>
    </font>
    <font>
      <u/>
      <sz val="10"/>
      <color theme="10"/>
      <name val="Arial"/>
      <family val="2"/>
    </font>
    <font>
      <b/>
      <sz val="18"/>
      <color theme="1"/>
      <name val="Calibri"/>
      <family val="2"/>
      <scheme val="minor"/>
    </font>
    <font>
      <u/>
      <sz val="11"/>
      <color theme="1"/>
      <name val="Calibri"/>
      <family val="2"/>
      <scheme val="minor"/>
    </font>
    <font>
      <sz val="11"/>
      <color rgb="FF000000"/>
      <name val="Calibri"/>
      <family val="2"/>
      <scheme val="minor"/>
    </font>
    <font>
      <sz val="11"/>
      <color theme="1"/>
      <name val="Symbol"/>
      <family val="1"/>
      <charset val="2"/>
    </font>
    <font>
      <sz val="7"/>
      <color theme="1"/>
      <name val="Times New Roman"/>
      <family val="1"/>
    </font>
    <font>
      <b/>
      <i/>
      <sz val="12"/>
      <name val="Cambria"/>
      <family val="1"/>
      <scheme val="major"/>
    </font>
    <font>
      <i/>
      <sz val="11"/>
      <color theme="1"/>
      <name val="Calibri"/>
      <family val="2"/>
      <scheme val="minor"/>
    </font>
    <font>
      <sz val="10"/>
      <color rgb="FF0000FF"/>
      <name val="Calibri"/>
      <family val="2"/>
      <scheme val="minor"/>
    </font>
    <font>
      <sz val="9"/>
      <color rgb="FFFF0000"/>
      <name val="Calibri"/>
      <family val="2"/>
      <scheme val="minor"/>
    </font>
    <font>
      <b/>
      <sz val="36"/>
      <color theme="0"/>
      <name val="Calibri"/>
      <family val="2"/>
      <scheme val="minor"/>
    </font>
  </fonts>
  <fills count="41">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9" tint="0.59999389629810485"/>
        <bgColor indexed="64"/>
      </patternFill>
    </fill>
    <fill>
      <patternFill patternType="solid">
        <fgColor theme="6" tint="0.39997558519241921"/>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rgb="FFC00000"/>
      </left>
      <right/>
      <top style="dotted">
        <color rgb="FFC00000"/>
      </top>
      <bottom/>
      <diagonal/>
    </border>
    <border>
      <left/>
      <right/>
      <top style="dotted">
        <color rgb="FFC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indexed="64"/>
      </right>
      <top/>
      <bottom/>
      <diagonal/>
    </border>
    <border>
      <left/>
      <right style="hair">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hair">
        <color indexed="64"/>
      </top>
      <bottom/>
      <diagonal/>
    </border>
    <border>
      <left style="hair">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s>
  <cellStyleXfs count="55">
    <xf numFmtId="0" fontId="0" fillId="0" borderId="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35"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2" fillId="0" borderId="0">
      <alignment horizontal="center"/>
    </xf>
    <xf numFmtId="0" fontId="42" fillId="0" borderId="0">
      <alignment horizontal="center" textRotation="90"/>
    </xf>
    <xf numFmtId="0" fontId="43" fillId="0" borderId="0"/>
    <xf numFmtId="174" fontId="43" fillId="0" borderId="0"/>
    <xf numFmtId="0" fontId="45" fillId="0" borderId="0" applyNumberFormat="0" applyFill="0" applyBorder="0" applyAlignment="0" applyProtection="0"/>
    <xf numFmtId="0" fontId="46" fillId="0" borderId="18" applyNumberFormat="0" applyFill="0" applyAlignment="0" applyProtection="0"/>
    <xf numFmtId="0" fontId="47" fillId="0" borderId="19" applyNumberFormat="0" applyFill="0" applyAlignment="0" applyProtection="0"/>
    <xf numFmtId="0" fontId="48" fillId="0" borderId="20" applyNumberFormat="0" applyFill="0" applyAlignment="0" applyProtection="0"/>
    <xf numFmtId="0" fontId="48" fillId="0" borderId="0" applyNumberFormat="0" applyFill="0" applyBorder="0" applyAlignment="0" applyProtection="0"/>
    <xf numFmtId="0" fontId="49" fillId="7" borderId="0" applyNumberFormat="0" applyBorder="0" applyAlignment="0" applyProtection="0"/>
    <xf numFmtId="0" fontId="50" fillId="8" borderId="0" applyNumberFormat="0" applyBorder="0" applyAlignment="0" applyProtection="0"/>
    <xf numFmtId="0" fontId="51" fillId="9" borderId="0" applyNumberFormat="0" applyBorder="0" applyAlignment="0" applyProtection="0"/>
    <xf numFmtId="0" fontId="52" fillId="10" borderId="21" applyNumberFormat="0" applyAlignment="0" applyProtection="0"/>
    <xf numFmtId="0" fontId="53" fillId="11" borderId="22" applyNumberFormat="0" applyAlignment="0" applyProtection="0"/>
    <xf numFmtId="0" fontId="54" fillId="11" borderId="21" applyNumberFormat="0" applyAlignment="0" applyProtection="0"/>
    <xf numFmtId="0" fontId="55" fillId="0" borderId="23" applyNumberFormat="0" applyFill="0" applyAlignment="0" applyProtection="0"/>
    <xf numFmtId="0" fontId="33" fillId="12" borderId="24" applyNumberFormat="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2" fillId="0" borderId="26" applyNumberFormat="0" applyFill="0" applyAlignment="0" applyProtection="0"/>
    <xf numFmtId="0" fontId="2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8" fillId="37" borderId="0" applyNumberFormat="0" applyBorder="0" applyAlignment="0" applyProtection="0"/>
    <xf numFmtId="0" fontId="62" fillId="0" borderId="0"/>
    <xf numFmtId="0" fontId="65" fillId="0" borderId="0" applyNumberFormat="0" applyFill="0" applyBorder="0" applyAlignment="0" applyProtection="0"/>
    <xf numFmtId="0" fontId="1" fillId="0" borderId="0"/>
    <xf numFmtId="0" fontId="1" fillId="13" borderId="25" applyNumberFormat="0" applyFont="0" applyAlignment="0" applyProtection="0"/>
  </cellStyleXfs>
  <cellXfs count="682">
    <xf numFmtId="0" fontId="0" fillId="0" borderId="0" xfId="0"/>
    <xf numFmtId="0" fontId="3" fillId="2" borderId="0" xfId="0" applyFont="1" applyFill="1"/>
    <xf numFmtId="0" fontId="0" fillId="2" borderId="0" xfId="0" applyFill="1"/>
    <xf numFmtId="0" fontId="4" fillId="2" borderId="0" xfId="0" applyFont="1" applyFill="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0" fillId="2" borderId="5" xfId="0" applyFill="1" applyBorder="1"/>
    <xf numFmtId="0" fontId="0" fillId="2" borderId="0" xfId="0" applyFill="1" applyAlignment="1"/>
    <xf numFmtId="0" fontId="0" fillId="2" borderId="0" xfId="0" applyFill="1" applyAlignment="1">
      <alignment wrapText="1"/>
    </xf>
    <xf numFmtId="0" fontId="0" fillId="2" borderId="6" xfId="0" applyFill="1" applyBorder="1"/>
    <xf numFmtId="0" fontId="0" fillId="2" borderId="7" xfId="0" applyFill="1" applyBorder="1"/>
    <xf numFmtId="0" fontId="0" fillId="2" borderId="8" xfId="0" applyFill="1" applyBorder="1"/>
    <xf numFmtId="0" fontId="2" fillId="2" borderId="0" xfId="0" applyFont="1" applyFill="1"/>
    <xf numFmtId="0" fontId="2" fillId="2" borderId="0" xfId="0" applyFont="1" applyFill="1" applyAlignment="1">
      <alignment horizontal="left"/>
    </xf>
    <xf numFmtId="0" fontId="5" fillId="2" borderId="0" xfId="2" applyFill="1" applyAlignment="1" applyProtection="1"/>
    <xf numFmtId="0" fontId="0" fillId="2" borderId="0" xfId="0" applyFill="1" applyAlignment="1">
      <alignment horizontal="left"/>
    </xf>
    <xf numFmtId="0" fontId="7" fillId="2" borderId="0" xfId="0" applyFont="1" applyFill="1"/>
    <xf numFmtId="0" fontId="7" fillId="2" borderId="0" xfId="0" applyFont="1" applyFill="1" applyAlignment="1">
      <alignment horizontal="left" indent="2"/>
    </xf>
    <xf numFmtId="0" fontId="7" fillId="2" borderId="0" xfId="0" applyFont="1" applyFill="1" applyAlignment="1">
      <alignment horizontal="left" indent="3"/>
    </xf>
    <xf numFmtId="0" fontId="7" fillId="2" borderId="7" xfId="0" applyFont="1" applyFill="1" applyBorder="1"/>
    <xf numFmtId="0" fontId="8" fillId="2" borderId="9" xfId="0" applyFont="1" applyFill="1" applyBorder="1" applyAlignment="1">
      <alignment horizontal="right" indent="1"/>
    </xf>
    <xf numFmtId="0" fontId="8" fillId="2" borderId="10" xfId="0" applyFont="1" applyFill="1" applyBorder="1" applyAlignment="1">
      <alignment horizontal="right" indent="1"/>
    </xf>
    <xf numFmtId="0" fontId="7" fillId="2" borderId="5" xfId="0" applyFont="1" applyFill="1" applyBorder="1"/>
    <xf numFmtId="165" fontId="7" fillId="2" borderId="5" xfId="0" applyNumberFormat="1" applyFont="1" applyFill="1" applyBorder="1"/>
    <xf numFmtId="164" fontId="7" fillId="2" borderId="5" xfId="0" applyNumberFormat="1" applyFont="1" applyFill="1" applyBorder="1"/>
    <xf numFmtId="165" fontId="6" fillId="2" borderId="5" xfId="0" applyNumberFormat="1" applyFont="1" applyFill="1" applyBorder="1"/>
    <xf numFmtId="0" fontId="8" fillId="2" borderId="7" xfId="0" applyFont="1" applyFill="1" applyBorder="1" applyAlignment="1">
      <alignment horizontal="right" indent="1"/>
    </xf>
    <xf numFmtId="0" fontId="8" fillId="2" borderId="8" xfId="0" applyFont="1" applyFill="1" applyBorder="1" applyAlignment="1">
      <alignment horizontal="right" indent="1"/>
    </xf>
    <xf numFmtId="167" fontId="7" fillId="2" borderId="5" xfId="0" applyNumberFormat="1" applyFont="1" applyFill="1" applyBorder="1"/>
    <xf numFmtId="0" fontId="8" fillId="2" borderId="9" xfId="0" applyFont="1" applyFill="1" applyBorder="1" applyAlignment="1">
      <alignment horizontal="left"/>
    </xf>
    <xf numFmtId="0" fontId="7" fillId="2" borderId="9" xfId="0" applyFont="1" applyFill="1" applyBorder="1"/>
    <xf numFmtId="0" fontId="11" fillId="2" borderId="0" xfId="0" applyFont="1" applyFill="1" applyBorder="1"/>
    <xf numFmtId="165" fontId="7" fillId="2" borderId="5" xfId="1" applyNumberFormat="1" applyFont="1" applyFill="1" applyBorder="1"/>
    <xf numFmtId="0" fontId="7" fillId="2" borderId="0" xfId="0" applyFont="1" applyFill="1" applyBorder="1"/>
    <xf numFmtId="165" fontId="6" fillId="2" borderId="0" xfId="0" applyNumberFormat="1" applyFont="1" applyFill="1" applyBorder="1"/>
    <xf numFmtId="165" fontId="7" fillId="2" borderId="7" xfId="0" applyNumberFormat="1" applyFont="1" applyFill="1" applyBorder="1"/>
    <xf numFmtId="165" fontId="7" fillId="2" borderId="8" xfId="0" applyNumberFormat="1" applyFont="1" applyFill="1" applyBorder="1"/>
    <xf numFmtId="165" fontId="7" fillId="2" borderId="9" xfId="1" applyNumberFormat="1" applyFont="1" applyFill="1" applyBorder="1"/>
    <xf numFmtId="165" fontId="7" fillId="2" borderId="0" xfId="0" applyNumberFormat="1" applyFont="1" applyFill="1" applyBorder="1"/>
    <xf numFmtId="165" fontId="7" fillId="2" borderId="0" xfId="1" applyNumberFormat="1" applyFont="1" applyFill="1" applyBorder="1"/>
    <xf numFmtId="165" fontId="10" fillId="2" borderId="0" xfId="0" applyNumberFormat="1" applyFont="1" applyFill="1"/>
    <xf numFmtId="0" fontId="0" fillId="2" borderId="9" xfId="0" applyFill="1" applyBorder="1"/>
    <xf numFmtId="0" fontId="0" fillId="2" borderId="10" xfId="0" applyFill="1" applyBorder="1"/>
    <xf numFmtId="2" fontId="0" fillId="2" borderId="0" xfId="0" applyNumberFormat="1" applyFill="1" applyBorder="1"/>
    <xf numFmtId="0" fontId="6" fillId="2" borderId="0" xfId="0" applyFont="1" applyFill="1"/>
    <xf numFmtId="165" fontId="0" fillId="2" borderId="0" xfId="0" applyNumberFormat="1" applyFill="1"/>
    <xf numFmtId="1" fontId="7" fillId="2" borderId="0" xfId="0" applyNumberFormat="1" applyFont="1" applyFill="1"/>
    <xf numFmtId="1" fontId="15" fillId="2" borderId="0" xfId="0" applyNumberFormat="1" applyFont="1" applyFill="1" applyBorder="1"/>
    <xf numFmtId="0" fontId="7" fillId="2" borderId="7" xfId="0" applyFont="1" applyFill="1" applyBorder="1" applyAlignment="1">
      <alignment horizontal="left"/>
    </xf>
    <xf numFmtId="0" fontId="7" fillId="2" borderId="0" xfId="0" applyFont="1" applyFill="1" applyBorder="1" applyAlignment="1">
      <alignment horizontal="left"/>
    </xf>
    <xf numFmtId="2" fontId="7" fillId="2" borderId="0" xfId="0" applyNumberFormat="1" applyFont="1" applyFill="1" applyBorder="1"/>
    <xf numFmtId="1" fontId="7" fillId="2" borderId="0" xfId="0" applyNumberFormat="1" applyFont="1" applyFill="1" applyBorder="1"/>
    <xf numFmtId="0" fontId="2" fillId="2" borderId="0" xfId="0" applyFont="1" applyFill="1" applyBorder="1"/>
    <xf numFmtId="0" fontId="16" fillId="2" borderId="0" xfId="0" applyFont="1" applyFill="1" applyBorder="1"/>
    <xf numFmtId="0" fontId="17" fillId="2" borderId="0" xfId="0" applyFont="1" applyFill="1" applyBorder="1"/>
    <xf numFmtId="2" fontId="8" fillId="2" borderId="0" xfId="0" applyNumberFormat="1" applyFont="1" applyFill="1" applyBorder="1"/>
    <xf numFmtId="0" fontId="6" fillId="2" borderId="0" xfId="0" applyFont="1" applyFill="1" applyBorder="1" applyAlignment="1">
      <alignment horizontal="left"/>
    </xf>
    <xf numFmtId="1" fontId="6" fillId="2" borderId="0" xfId="0" applyNumberFormat="1" applyFont="1" applyFill="1" applyBorder="1" applyAlignment="1">
      <alignment horizontal="left"/>
    </xf>
    <xf numFmtId="0" fontId="17" fillId="2" borderId="0" xfId="0" applyFont="1" applyFill="1" applyBorder="1" applyAlignment="1">
      <alignment horizontal="right"/>
    </xf>
    <xf numFmtId="164" fontId="6" fillId="2" borderId="0" xfId="0" applyNumberFormat="1" applyFont="1" applyFill="1" applyBorder="1" applyAlignment="1">
      <alignment horizontal="right"/>
    </xf>
    <xf numFmtId="168" fontId="6" fillId="2" borderId="0" xfId="0" applyNumberFormat="1" applyFont="1" applyFill="1" applyBorder="1" applyAlignment="1">
      <alignment horizontal="right"/>
    </xf>
    <xf numFmtId="0" fontId="0" fillId="2" borderId="0" xfId="0" applyFill="1" applyBorder="1" applyAlignment="1">
      <alignment horizontal="right"/>
    </xf>
    <xf numFmtId="0" fontId="0" fillId="2" borderId="0" xfId="0" applyFont="1" applyFill="1" applyBorder="1"/>
    <xf numFmtId="0" fontId="19" fillId="2" borderId="0" xfId="0" applyFont="1" applyFill="1" applyBorder="1"/>
    <xf numFmtId="2" fontId="18" fillId="2" borderId="0" xfId="0" applyNumberFormat="1" applyFont="1" applyFill="1" applyBorder="1"/>
    <xf numFmtId="0" fontId="18" fillId="2" borderId="0" xfId="0" applyFont="1" applyFill="1" applyBorder="1"/>
    <xf numFmtId="2" fontId="21" fillId="2" borderId="0" xfId="0" applyNumberFormat="1" applyFont="1" applyFill="1" applyBorder="1"/>
    <xf numFmtId="0" fontId="22" fillId="2" borderId="0" xfId="0" applyFont="1" applyFill="1" applyBorder="1"/>
    <xf numFmtId="2" fontId="0" fillId="2" borderId="0" xfId="0" applyNumberFormat="1" applyFont="1" applyFill="1" applyBorder="1"/>
    <xf numFmtId="1" fontId="0" fillId="2" borderId="0" xfId="0" applyNumberFormat="1" applyFont="1" applyFill="1" applyBorder="1"/>
    <xf numFmtId="0" fontId="20" fillId="2" borderId="0" xfId="2" applyFont="1" applyFill="1" applyBorder="1" applyAlignment="1" applyProtection="1">
      <alignment vertical="center" wrapText="1"/>
    </xf>
    <xf numFmtId="0" fontId="23" fillId="2" borderId="0" xfId="2" applyFont="1" applyFill="1" applyBorder="1" applyAlignment="1" applyProtection="1">
      <alignment vertical="center" wrapText="1"/>
    </xf>
    <xf numFmtId="0" fontId="5" fillId="2" borderId="0" xfId="2" applyFont="1" applyFill="1" applyBorder="1" applyAlignment="1" applyProtection="1">
      <alignment vertical="center" wrapText="1"/>
    </xf>
    <xf numFmtId="0" fontId="5" fillId="2" borderId="0" xfId="2" applyFill="1" applyAlignment="1" applyProtection="1">
      <alignment vertical="center" wrapText="1"/>
    </xf>
    <xf numFmtId="0" fontId="20" fillId="2" borderId="0" xfId="2" applyFont="1" applyFill="1" applyAlignment="1" applyProtection="1">
      <alignment vertical="center" wrapText="1"/>
    </xf>
    <xf numFmtId="2" fontId="7" fillId="2" borderId="7" xfId="0" applyNumberFormat="1" applyFont="1" applyFill="1" applyBorder="1"/>
    <xf numFmtId="1" fontId="7" fillId="2" borderId="7" xfId="0" applyNumberFormat="1" applyFont="1" applyFill="1" applyBorder="1"/>
    <xf numFmtId="0" fontId="7" fillId="2" borderId="7" xfId="0" applyFont="1" applyFill="1" applyBorder="1" applyAlignment="1">
      <alignment horizontal="left" indent="3"/>
    </xf>
    <xf numFmtId="0" fontId="7" fillId="2" borderId="9" xfId="0" applyFont="1" applyFill="1" applyBorder="1" applyAlignment="1">
      <alignment horizontal="left" indent="3"/>
    </xf>
    <xf numFmtId="0" fontId="7" fillId="2" borderId="0" xfId="0" applyFont="1" applyFill="1" applyAlignment="1">
      <alignment horizontal="right" indent="3"/>
    </xf>
    <xf numFmtId="0" fontId="7" fillId="2" borderId="7" xfId="0" applyFont="1" applyFill="1" applyBorder="1" applyAlignment="1">
      <alignment horizontal="right" indent="3"/>
    </xf>
    <xf numFmtId="0" fontId="7" fillId="2" borderId="9" xfId="0" applyFont="1" applyFill="1" applyBorder="1" applyAlignment="1">
      <alignment horizontal="right" indent="3"/>
    </xf>
    <xf numFmtId="0" fontId="8" fillId="2" borderId="9" xfId="0" applyFont="1" applyFill="1" applyBorder="1" applyAlignment="1">
      <alignment horizontal="left" indent="3"/>
    </xf>
    <xf numFmtId="9" fontId="0" fillId="2" borderId="9" xfId="1" applyFont="1" applyFill="1" applyBorder="1" applyAlignment="1">
      <alignment horizontal="right" indent="3"/>
    </xf>
    <xf numFmtId="0" fontId="7" fillId="2" borderId="0" xfId="0" applyFont="1" applyFill="1" applyAlignment="1"/>
    <xf numFmtId="0" fontId="7" fillId="2" borderId="7" xfId="0" applyFont="1" applyFill="1" applyBorder="1" applyAlignment="1"/>
    <xf numFmtId="0" fontId="7" fillId="2" borderId="9" xfId="0" applyFont="1" applyFill="1" applyBorder="1" applyAlignment="1"/>
    <xf numFmtId="9" fontId="7" fillId="2" borderId="0" xfId="1" applyFont="1" applyFill="1" applyBorder="1"/>
    <xf numFmtId="0" fontId="7" fillId="2" borderId="4" xfId="0" applyFont="1" applyFill="1" applyBorder="1"/>
    <xf numFmtId="9" fontId="7" fillId="2" borderId="5" xfId="1" applyFont="1" applyFill="1" applyBorder="1"/>
    <xf numFmtId="0" fontId="7" fillId="4" borderId="0" xfId="0" applyFont="1" applyFill="1" applyAlignment="1">
      <alignment horizontal="left" indent="3"/>
    </xf>
    <xf numFmtId="0" fontId="7" fillId="4" borderId="0" xfId="0" applyFont="1" applyFill="1" applyAlignment="1">
      <alignment horizontal="right" indent="3"/>
    </xf>
    <xf numFmtId="0" fontId="8" fillId="2" borderId="7" xfId="0" applyFont="1" applyFill="1" applyBorder="1" applyAlignment="1">
      <alignment horizontal="left"/>
    </xf>
    <xf numFmtId="165" fontId="7" fillId="2" borderId="7" xfId="1" applyNumberFormat="1" applyFont="1" applyFill="1" applyBorder="1"/>
    <xf numFmtId="165" fontId="7" fillId="2" borderId="8" xfId="1" applyNumberFormat="1" applyFont="1" applyFill="1" applyBorder="1"/>
    <xf numFmtId="165" fontId="14" fillId="2" borderId="0" xfId="1" applyNumberFormat="1" applyFont="1" applyFill="1" applyBorder="1"/>
    <xf numFmtId="0" fontId="7" fillId="2" borderId="0" xfId="0" applyFont="1" applyFill="1" applyAlignment="1">
      <alignment horizontal="left" indent="4"/>
    </xf>
    <xf numFmtId="165" fontId="7" fillId="2" borderId="0" xfId="0" applyNumberFormat="1" applyFont="1" applyFill="1" applyBorder="1" applyAlignment="1">
      <alignment horizontal="right"/>
    </xf>
    <xf numFmtId="165" fontId="18" fillId="2" borderId="0" xfId="1" applyNumberFormat="1" applyFont="1" applyFill="1" applyBorder="1"/>
    <xf numFmtId="165" fontId="18" fillId="2" borderId="5" xfId="1" applyNumberFormat="1" applyFont="1" applyFill="1" applyBorder="1"/>
    <xf numFmtId="10" fontId="7" fillId="2" borderId="0" xfId="1" applyNumberFormat="1" applyFont="1" applyFill="1" applyBorder="1"/>
    <xf numFmtId="10" fontId="7" fillId="2" borderId="5" xfId="1" applyNumberFormat="1" applyFont="1" applyFill="1" applyBorder="1"/>
    <xf numFmtId="0" fontId="8" fillId="2" borderId="0" xfId="0" applyFont="1" applyFill="1" applyAlignment="1">
      <alignment horizontal="left" indent="3"/>
    </xf>
    <xf numFmtId="0" fontId="7" fillId="2" borderId="7" xfId="0" applyFont="1" applyFill="1" applyBorder="1" applyAlignment="1">
      <alignment horizontal="left" indent="4"/>
    </xf>
    <xf numFmtId="0" fontId="7" fillId="2" borderId="7" xfId="0" applyFont="1" applyFill="1" applyBorder="1" applyAlignment="1">
      <alignment horizontal="left" indent="2"/>
    </xf>
    <xf numFmtId="10" fontId="7" fillId="2" borderId="7" xfId="1" applyNumberFormat="1" applyFont="1" applyFill="1" applyBorder="1"/>
    <xf numFmtId="10" fontId="7" fillId="2" borderId="8" xfId="1" applyNumberFormat="1" applyFont="1" applyFill="1" applyBorder="1"/>
    <xf numFmtId="0" fontId="7" fillId="2" borderId="9" xfId="0" applyFont="1" applyFill="1" applyBorder="1" applyAlignment="1">
      <alignment horizontal="left" indent="4"/>
    </xf>
    <xf numFmtId="9" fontId="7" fillId="2" borderId="5" xfId="1" applyNumberFormat="1" applyFont="1" applyFill="1" applyBorder="1"/>
    <xf numFmtId="9" fontId="7" fillId="2" borderId="0" xfId="1" applyNumberFormat="1" applyFont="1" applyFill="1" applyBorder="1"/>
    <xf numFmtId="10" fontId="0" fillId="2" borderId="0" xfId="1" applyNumberFormat="1" applyFont="1" applyFill="1"/>
    <xf numFmtId="0" fontId="0" fillId="2" borderId="0" xfId="0" applyFont="1" applyFill="1"/>
    <xf numFmtId="0" fontId="24" fillId="2" borderId="9" xfId="0" applyFont="1" applyFill="1" applyBorder="1" applyAlignment="1">
      <alignment horizontal="left" indent="2"/>
    </xf>
    <xf numFmtId="0" fontId="25" fillId="2" borderId="9" xfId="0" applyFont="1" applyFill="1" applyBorder="1"/>
    <xf numFmtId="10" fontId="7" fillId="2" borderId="9" xfId="1" applyNumberFormat="1" applyFont="1" applyFill="1" applyBorder="1" applyAlignment="1">
      <alignment horizontal="right" indent="3"/>
    </xf>
    <xf numFmtId="10" fontId="0" fillId="2" borderId="9" xfId="1" applyNumberFormat="1" applyFont="1" applyFill="1" applyBorder="1" applyAlignment="1">
      <alignment horizontal="right" indent="3"/>
    </xf>
    <xf numFmtId="170" fontId="18" fillId="2" borderId="0" xfId="0" applyNumberFormat="1" applyFont="1" applyFill="1" applyBorder="1"/>
    <xf numFmtId="2" fontId="18" fillId="2" borderId="9" xfId="0" applyNumberFormat="1" applyFont="1" applyFill="1" applyBorder="1"/>
    <xf numFmtId="2" fontId="18" fillId="2" borderId="0" xfId="0" applyNumberFormat="1" applyFont="1" applyFill="1" applyBorder="1" applyAlignment="1">
      <alignment horizontal="left"/>
    </xf>
    <xf numFmtId="0" fontId="18" fillId="2" borderId="0" xfId="0" applyFont="1" applyFill="1" applyBorder="1" applyAlignment="1">
      <alignment horizontal="left"/>
    </xf>
    <xf numFmtId="0" fontId="17" fillId="2" borderId="0" xfId="0" applyFont="1" applyFill="1" applyBorder="1" applyAlignment="1">
      <alignment horizontal="left"/>
    </xf>
    <xf numFmtId="0" fontId="7" fillId="2" borderId="9" xfId="0" applyFont="1" applyFill="1" applyBorder="1" applyAlignment="1">
      <alignment horizontal="left"/>
    </xf>
    <xf numFmtId="2" fontId="18" fillId="2" borderId="9" xfId="0" applyNumberFormat="1" applyFont="1" applyFill="1" applyBorder="1" applyAlignment="1">
      <alignment horizontal="center"/>
    </xf>
    <xf numFmtId="2" fontId="18" fillId="2" borderId="9" xfId="0" applyNumberFormat="1" applyFont="1" applyFill="1" applyBorder="1" applyAlignment="1">
      <alignment horizontal="left" vertical="center"/>
    </xf>
    <xf numFmtId="0" fontId="18" fillId="2" borderId="0" xfId="0" applyFont="1" applyFill="1" applyBorder="1" applyAlignment="1">
      <alignment horizontal="center"/>
    </xf>
    <xf numFmtId="0" fontId="7" fillId="2" borderId="7" xfId="0" applyFont="1" applyFill="1" applyBorder="1" applyAlignment="1">
      <alignment horizontal="center"/>
    </xf>
    <xf numFmtId="1" fontId="27" fillId="2" borderId="0" xfId="0" applyNumberFormat="1" applyFont="1" applyFill="1" applyBorder="1" applyAlignment="1">
      <alignment horizontal="left"/>
    </xf>
    <xf numFmtId="2" fontId="18" fillId="2" borderId="11" xfId="0" applyNumberFormat="1" applyFont="1" applyFill="1" applyBorder="1" applyAlignment="1">
      <alignment horizontal="left"/>
    </xf>
    <xf numFmtId="2" fontId="18" fillId="2" borderId="10" xfId="0" applyNumberFormat="1" applyFont="1" applyFill="1" applyBorder="1" applyAlignment="1">
      <alignment horizontal="right"/>
    </xf>
    <xf numFmtId="2" fontId="18" fillId="2" borderId="4" xfId="0" applyNumberFormat="1" applyFont="1" applyFill="1" applyBorder="1" applyAlignment="1">
      <alignment horizontal="left"/>
    </xf>
    <xf numFmtId="2" fontId="18" fillId="2" borderId="5" xfId="0" applyNumberFormat="1" applyFont="1" applyFill="1" applyBorder="1" applyAlignment="1">
      <alignment horizontal="right"/>
    </xf>
    <xf numFmtId="170" fontId="18" fillId="2" borderId="4" xfId="0" applyNumberFormat="1" applyFont="1" applyFill="1" applyBorder="1" applyAlignment="1">
      <alignment horizontal="left"/>
    </xf>
    <xf numFmtId="0" fontId="18" fillId="2" borderId="5" xfId="0" applyFont="1" applyFill="1" applyBorder="1" applyAlignment="1">
      <alignment horizontal="right"/>
    </xf>
    <xf numFmtId="0" fontId="18" fillId="2" borderId="4" xfId="0" applyFont="1" applyFill="1" applyBorder="1" applyAlignment="1">
      <alignment horizontal="left"/>
    </xf>
    <xf numFmtId="0" fontId="7" fillId="2" borderId="6" xfId="0" applyFont="1" applyFill="1" applyBorder="1" applyAlignment="1">
      <alignment horizontal="left"/>
    </xf>
    <xf numFmtId="0" fontId="7" fillId="2" borderId="8" xfId="0" applyFont="1" applyFill="1" applyBorder="1" applyAlignment="1">
      <alignment horizontal="right"/>
    </xf>
    <xf numFmtId="0" fontId="17" fillId="2" borderId="4" xfId="0" applyFont="1" applyFill="1" applyBorder="1"/>
    <xf numFmtId="9" fontId="0" fillId="2" borderId="0" xfId="1" applyFont="1" applyFill="1" applyBorder="1"/>
    <xf numFmtId="2" fontId="2" fillId="2" borderId="10" xfId="0" applyNumberFormat="1" applyFont="1" applyFill="1" applyBorder="1"/>
    <xf numFmtId="0" fontId="28" fillId="2" borderId="0" xfId="0" applyFont="1" applyFill="1" applyBorder="1"/>
    <xf numFmtId="0" fontId="5" fillId="2" borderId="0" xfId="2" applyFill="1" applyBorder="1" applyAlignment="1" applyProtection="1"/>
    <xf numFmtId="0" fontId="7" fillId="2" borderId="0" xfId="0" applyFont="1" applyFill="1" applyBorder="1" applyAlignment="1">
      <alignment horizontal="left" indent="4"/>
    </xf>
    <xf numFmtId="0" fontId="7" fillId="2" borderId="9" xfId="0" applyFont="1" applyFill="1" applyBorder="1" applyAlignment="1">
      <alignment horizontal="left" indent="2"/>
    </xf>
    <xf numFmtId="166" fontId="7" fillId="2" borderId="9" xfId="1" applyNumberFormat="1" applyFont="1" applyFill="1" applyBorder="1"/>
    <xf numFmtId="166" fontId="7" fillId="2" borderId="10" xfId="1" applyNumberFormat="1" applyFont="1" applyFill="1" applyBorder="1"/>
    <xf numFmtId="0" fontId="7" fillId="2" borderId="14" xfId="0" applyFont="1" applyFill="1" applyBorder="1"/>
    <xf numFmtId="0" fontId="7" fillId="2" borderId="15" xfId="0" applyFont="1" applyFill="1" applyBorder="1"/>
    <xf numFmtId="0" fontId="7" fillId="2" borderId="0" xfId="0" applyFont="1" applyFill="1" applyBorder="1" applyAlignment="1">
      <alignment horizontal="left" indent="2"/>
    </xf>
    <xf numFmtId="1" fontId="7" fillId="2" borderId="5" xfId="0" applyNumberFormat="1" applyFont="1" applyFill="1" applyBorder="1"/>
    <xf numFmtId="166" fontId="7" fillId="2" borderId="5" xfId="1" applyNumberFormat="1" applyFont="1" applyFill="1" applyBorder="1"/>
    <xf numFmtId="2" fontId="7" fillId="2" borderId="0" xfId="0" applyNumberFormat="1" applyFont="1" applyFill="1" applyAlignment="1">
      <alignment horizontal="right" indent="3"/>
    </xf>
    <xf numFmtId="1" fontId="7" fillId="2" borderId="0" xfId="0" applyNumberFormat="1" applyFont="1" applyFill="1" applyAlignment="1">
      <alignment horizontal="right" indent="3"/>
    </xf>
    <xf numFmtId="1" fontId="7" fillId="2" borderId="7" xfId="0" applyNumberFormat="1" applyFont="1" applyFill="1" applyBorder="1" applyAlignment="1">
      <alignment horizontal="right" indent="3"/>
    </xf>
    <xf numFmtId="1" fontId="7" fillId="2" borderId="9" xfId="0" applyNumberFormat="1" applyFont="1" applyFill="1" applyBorder="1" applyAlignment="1">
      <alignment horizontal="right" indent="3"/>
    </xf>
    <xf numFmtId="0" fontId="8" fillId="2" borderId="0" xfId="0" applyFont="1" applyFill="1" applyBorder="1" applyAlignment="1">
      <alignment horizontal="right" indent="1"/>
    </xf>
    <xf numFmtId="165" fontId="8" fillId="2" borderId="9" xfId="0" applyNumberFormat="1" applyFont="1" applyFill="1" applyBorder="1" applyAlignment="1">
      <alignment horizontal="right" indent="1"/>
    </xf>
    <xf numFmtId="0" fontId="30" fillId="0" borderId="0" xfId="0" applyFont="1" applyBorder="1"/>
    <xf numFmtId="0" fontId="0" fillId="0" borderId="0" xfId="0" applyBorder="1"/>
    <xf numFmtId="0" fontId="2" fillId="0" borderId="0" xfId="0" applyFont="1" applyBorder="1"/>
    <xf numFmtId="0" fontId="0" fillId="0" borderId="0" xfId="0" applyFill="1" applyBorder="1"/>
    <xf numFmtId="0" fontId="0" fillId="0" borderId="0" xfId="0" applyFont="1" applyFill="1" applyBorder="1"/>
    <xf numFmtId="0" fontId="2" fillId="0" borderId="9" xfId="0" applyFont="1" applyBorder="1"/>
    <xf numFmtId="0" fontId="2" fillId="0" borderId="0" xfId="0" applyFont="1" applyFill="1" applyBorder="1"/>
    <xf numFmtId="0" fontId="0" fillId="0" borderId="9" xfId="0" applyBorder="1"/>
    <xf numFmtId="0" fontId="2" fillId="0" borderId="9" xfId="0" applyFont="1" applyFill="1" applyBorder="1"/>
    <xf numFmtId="4" fontId="2" fillId="0" borderId="9" xfId="0" applyNumberFormat="1" applyFont="1" applyBorder="1"/>
    <xf numFmtId="0" fontId="30" fillId="2" borderId="0" xfId="0" applyFont="1" applyFill="1"/>
    <xf numFmtId="165" fontId="7" fillId="2" borderId="9" xfId="0" applyNumberFormat="1" applyFont="1" applyFill="1" applyBorder="1"/>
    <xf numFmtId="0" fontId="26" fillId="2" borderId="9" xfId="0" applyFont="1" applyFill="1" applyBorder="1" applyAlignment="1">
      <alignment horizontal="left"/>
    </xf>
    <xf numFmtId="165" fontId="15" fillId="2" borderId="9" xfId="0" applyNumberFormat="1" applyFont="1" applyFill="1" applyBorder="1"/>
    <xf numFmtId="165" fontId="14" fillId="2" borderId="7" xfId="1" applyNumberFormat="1" applyFont="1" applyFill="1" applyBorder="1"/>
    <xf numFmtId="165" fontId="8" fillId="2" borderId="7" xfId="0" applyNumberFormat="1" applyFont="1" applyFill="1" applyBorder="1" applyAlignment="1">
      <alignment horizontal="right" indent="1"/>
    </xf>
    <xf numFmtId="165" fontId="15" fillId="2" borderId="7" xfId="0" applyNumberFormat="1" applyFont="1" applyFill="1" applyBorder="1"/>
    <xf numFmtId="165" fontId="8" fillId="2" borderId="8" xfId="0" applyNumberFormat="1" applyFont="1" applyFill="1" applyBorder="1" applyAlignment="1">
      <alignment horizontal="right" indent="1"/>
    </xf>
    <xf numFmtId="10" fontId="29" fillId="3" borderId="5" xfId="1" applyNumberFormat="1" applyFont="1" applyFill="1" applyBorder="1"/>
    <xf numFmtId="165" fontId="7" fillId="5" borderId="5" xfId="1" applyNumberFormat="1" applyFont="1" applyFill="1" applyBorder="1"/>
    <xf numFmtId="10" fontId="29" fillId="3" borderId="8" xfId="1" applyNumberFormat="1" applyFont="1" applyFill="1" applyBorder="1"/>
    <xf numFmtId="165" fontId="15" fillId="2" borderId="8" xfId="0" applyNumberFormat="1" applyFont="1" applyFill="1" applyBorder="1"/>
    <xf numFmtId="165" fontId="7" fillId="2" borderId="10" xfId="0" applyNumberFormat="1" applyFont="1" applyFill="1" applyBorder="1"/>
    <xf numFmtId="1" fontId="7" fillId="2" borderId="9" xfId="0" applyNumberFormat="1" applyFont="1" applyFill="1" applyBorder="1"/>
    <xf numFmtId="165" fontId="10" fillId="2" borderId="0" xfId="0" applyNumberFormat="1" applyFont="1" applyFill="1" applyBorder="1"/>
    <xf numFmtId="1" fontId="7" fillId="2" borderId="10" xfId="0" applyNumberFormat="1" applyFont="1" applyFill="1" applyBorder="1"/>
    <xf numFmtId="165" fontId="9" fillId="2" borderId="0" xfId="0" applyNumberFormat="1" applyFont="1" applyFill="1" applyBorder="1" applyAlignment="1">
      <alignment horizontal="right"/>
    </xf>
    <xf numFmtId="165" fontId="8" fillId="2" borderId="10" xfId="0" applyNumberFormat="1" applyFont="1" applyFill="1" applyBorder="1" applyAlignment="1">
      <alignment horizontal="right" indent="1"/>
    </xf>
    <xf numFmtId="165" fontId="9" fillId="2" borderId="5" xfId="0" applyNumberFormat="1" applyFont="1" applyFill="1" applyBorder="1" applyAlignment="1">
      <alignment horizontal="right"/>
    </xf>
    <xf numFmtId="165" fontId="9" fillId="2" borderId="0" xfId="1" applyNumberFormat="1" applyFont="1" applyFill="1" applyBorder="1"/>
    <xf numFmtId="165" fontId="9" fillId="2" borderId="5" xfId="1" applyNumberFormat="1" applyFont="1" applyFill="1" applyBorder="1"/>
    <xf numFmtId="0" fontId="7" fillId="2" borderId="8" xfId="0" applyFont="1" applyFill="1" applyBorder="1"/>
    <xf numFmtId="165" fontId="15" fillId="2" borderId="10" xfId="0" applyNumberFormat="1" applyFont="1" applyFill="1" applyBorder="1"/>
    <xf numFmtId="0" fontId="2" fillId="0" borderId="0" xfId="0" applyFont="1"/>
    <xf numFmtId="0" fontId="0" fillId="0" borderId="12" xfId="0" applyBorder="1" applyAlignment="1">
      <alignment horizontal="center"/>
    </xf>
    <xf numFmtId="0" fontId="0" fillId="0" borderId="12" xfId="0" applyBorder="1"/>
    <xf numFmtId="3" fontId="0" fillId="0" borderId="12" xfId="0" applyNumberFormat="1" applyBorder="1"/>
    <xf numFmtId="4" fontId="0" fillId="0" borderId="12" xfId="0" applyNumberFormat="1" applyBorder="1"/>
    <xf numFmtId="0" fontId="0" fillId="0" borderId="12" xfId="0" applyBorder="1" applyAlignment="1">
      <alignment vertical="center"/>
    </xf>
    <xf numFmtId="0" fontId="2" fillId="0" borderId="12" xfId="0" applyFont="1" applyBorder="1"/>
    <xf numFmtId="4" fontId="2" fillId="0" borderId="12" xfId="0" applyNumberFormat="1" applyFont="1" applyBorder="1"/>
    <xf numFmtId="3" fontId="0" fillId="2" borderId="0" xfId="0" applyNumberFormat="1" applyFill="1"/>
    <xf numFmtId="4" fontId="0" fillId="2" borderId="0" xfId="0" applyNumberFormat="1" applyFill="1"/>
    <xf numFmtId="4" fontId="0" fillId="2" borderId="0" xfId="0" applyNumberFormat="1" applyFill="1" applyBorder="1"/>
    <xf numFmtId="165" fontId="8" fillId="2" borderId="5" xfId="0" applyNumberFormat="1" applyFont="1" applyFill="1" applyBorder="1"/>
    <xf numFmtId="10" fontId="0" fillId="2" borderId="0" xfId="0" applyNumberFormat="1" applyFill="1" applyBorder="1"/>
    <xf numFmtId="0" fontId="2" fillId="2" borderId="5" xfId="0" applyFont="1" applyFill="1" applyBorder="1"/>
    <xf numFmtId="0" fontId="4" fillId="2" borderId="0" xfId="0" applyFont="1" applyFill="1" applyBorder="1"/>
    <xf numFmtId="2" fontId="0" fillId="2" borderId="5" xfId="0" applyNumberFormat="1" applyFill="1" applyBorder="1"/>
    <xf numFmtId="2" fontId="7" fillId="2" borderId="5" xfId="0" applyNumberFormat="1" applyFont="1" applyFill="1" applyBorder="1"/>
    <xf numFmtId="2" fontId="7" fillId="2" borderId="8" xfId="0" applyNumberFormat="1" applyFont="1" applyFill="1" applyBorder="1"/>
    <xf numFmtId="165" fontId="24" fillId="2" borderId="5" xfId="0" applyNumberFormat="1" applyFont="1" applyFill="1" applyBorder="1"/>
    <xf numFmtId="0" fontId="21" fillId="2" borderId="0" xfId="0" applyFont="1" applyFill="1" applyBorder="1"/>
    <xf numFmtId="165" fontId="21" fillId="2" borderId="5" xfId="0" applyNumberFormat="1" applyFont="1" applyFill="1" applyBorder="1"/>
    <xf numFmtId="0" fontId="24" fillId="2" borderId="0" xfId="0" applyFont="1" applyFill="1" applyBorder="1"/>
    <xf numFmtId="2" fontId="31" fillId="3" borderId="0" xfId="0" applyNumberFormat="1" applyFont="1" applyFill="1" applyBorder="1"/>
    <xf numFmtId="0" fontId="0" fillId="2" borderId="1" xfId="0" applyFont="1" applyFill="1" applyBorder="1"/>
    <xf numFmtId="0" fontId="0" fillId="2" borderId="2" xfId="0" applyFont="1" applyFill="1" applyBorder="1"/>
    <xf numFmtId="0" fontId="0" fillId="2" borderId="3" xfId="0" applyFont="1" applyFill="1" applyBorder="1"/>
    <xf numFmtId="0" fontId="0" fillId="2" borderId="4" xfId="0" applyFont="1" applyFill="1" applyBorder="1"/>
    <xf numFmtId="0" fontId="0" fillId="2" borderId="5" xfId="0" applyFont="1" applyFill="1" applyBorder="1"/>
    <xf numFmtId="0" fontId="0" fillId="2" borderId="4" xfId="0" applyFont="1" applyFill="1" applyBorder="1" applyAlignment="1"/>
    <xf numFmtId="0" fontId="0" fillId="2" borderId="0" xfId="0" applyFont="1" applyFill="1" applyBorder="1" applyAlignment="1"/>
    <xf numFmtId="0" fontId="0" fillId="2" borderId="5" xfId="0" applyFont="1" applyFill="1" applyBorder="1" applyAlignment="1"/>
    <xf numFmtId="0" fontId="0" fillId="2" borderId="0" xfId="0" applyFont="1" applyFill="1" applyBorder="1" applyAlignment="1">
      <alignment wrapText="1"/>
    </xf>
    <xf numFmtId="0" fontId="0" fillId="2" borderId="5" xfId="0" applyFont="1" applyFill="1" applyBorder="1" applyAlignment="1">
      <alignment wrapText="1"/>
    </xf>
    <xf numFmtId="0" fontId="0" fillId="2" borderId="6" xfId="0" applyFont="1" applyFill="1" applyBorder="1"/>
    <xf numFmtId="0" fontId="0" fillId="2" borderId="7" xfId="0" applyFont="1" applyFill="1" applyBorder="1"/>
    <xf numFmtId="0" fontId="0" fillId="2" borderId="8" xfId="0" applyFont="1" applyFill="1" applyBorder="1"/>
    <xf numFmtId="0" fontId="26" fillId="2" borderId="10" xfId="0" applyFont="1" applyFill="1" applyBorder="1" applyAlignment="1">
      <alignment horizontal="left"/>
    </xf>
    <xf numFmtId="0" fontId="7" fillId="2" borderId="5" xfId="0" applyFont="1" applyFill="1" applyBorder="1" applyAlignment="1">
      <alignment horizontal="left"/>
    </xf>
    <xf numFmtId="0" fontId="7" fillId="2" borderId="8" xfId="0" applyFont="1" applyFill="1" applyBorder="1" applyAlignment="1">
      <alignment horizontal="left"/>
    </xf>
    <xf numFmtId="0" fontId="17" fillId="2" borderId="5" xfId="0" applyFont="1" applyFill="1" applyBorder="1"/>
    <xf numFmtId="1" fontId="7" fillId="2" borderId="8" xfId="0" applyNumberFormat="1" applyFont="1" applyFill="1" applyBorder="1"/>
    <xf numFmtId="0" fontId="26" fillId="2" borderId="12" xfId="0" applyFont="1" applyFill="1" applyBorder="1" applyAlignment="1">
      <alignment horizontal="center"/>
    </xf>
    <xf numFmtId="0" fontId="7" fillId="2" borderId="14" xfId="0" applyFont="1" applyFill="1" applyBorder="1" applyAlignment="1">
      <alignment horizontal="center"/>
    </xf>
    <xf numFmtId="0" fontId="0" fillId="2" borderId="14" xfId="0" applyFill="1" applyBorder="1"/>
    <xf numFmtId="0" fontId="0" fillId="2" borderId="15" xfId="0" applyFill="1" applyBorder="1"/>
    <xf numFmtId="166" fontId="7" fillId="2" borderId="0" xfId="1" applyNumberFormat="1" applyFont="1" applyFill="1" applyBorder="1"/>
    <xf numFmtId="2" fontId="7" fillId="2" borderId="0" xfId="1" applyNumberFormat="1" applyFont="1" applyFill="1" applyBorder="1"/>
    <xf numFmtId="2" fontId="7" fillId="2" borderId="5" xfId="1" applyNumberFormat="1" applyFont="1" applyFill="1" applyBorder="1"/>
    <xf numFmtId="0" fontId="31" fillId="2" borderId="0" xfId="0" applyFont="1" applyFill="1" applyBorder="1" applyAlignment="1">
      <alignment horizontal="left"/>
    </xf>
    <xf numFmtId="4" fontId="32" fillId="2" borderId="0" xfId="0" applyNumberFormat="1" applyFont="1" applyFill="1" applyBorder="1"/>
    <xf numFmtId="165" fontId="29" fillId="2" borderId="0" xfId="1" applyNumberFormat="1" applyFont="1" applyFill="1" applyBorder="1"/>
    <xf numFmtId="0" fontId="2" fillId="2" borderId="7" xfId="0" applyFont="1" applyFill="1" applyBorder="1"/>
    <xf numFmtId="165" fontId="9" fillId="2" borderId="0" xfId="0" applyNumberFormat="1" applyFont="1" applyFill="1" applyBorder="1"/>
    <xf numFmtId="1" fontId="6" fillId="2" borderId="7" xfId="0" applyNumberFormat="1" applyFont="1" applyFill="1" applyBorder="1"/>
    <xf numFmtId="2" fontId="9" fillId="2" borderId="0" xfId="0" applyNumberFormat="1" applyFont="1" applyFill="1" applyBorder="1"/>
    <xf numFmtId="165" fontId="9" fillId="2" borderId="7" xfId="0" applyNumberFormat="1" applyFont="1" applyFill="1" applyBorder="1"/>
    <xf numFmtId="2" fontId="9" fillId="2" borderId="5" xfId="0" applyNumberFormat="1" applyFont="1" applyFill="1" applyBorder="1"/>
    <xf numFmtId="165" fontId="9" fillId="2" borderId="8" xfId="0" applyNumberFormat="1" applyFont="1" applyFill="1" applyBorder="1"/>
    <xf numFmtId="3" fontId="0" fillId="2" borderId="5" xfId="0" applyNumberFormat="1" applyFill="1" applyBorder="1"/>
    <xf numFmtId="3" fontId="32" fillId="2" borderId="5" xfId="0" applyNumberFormat="1" applyFont="1" applyFill="1" applyBorder="1"/>
    <xf numFmtId="1" fontId="6" fillId="2" borderId="8" xfId="0" applyNumberFormat="1" applyFont="1" applyFill="1" applyBorder="1"/>
    <xf numFmtId="165" fontId="9" fillId="2" borderId="5" xfId="0" applyNumberFormat="1" applyFont="1" applyFill="1" applyBorder="1"/>
    <xf numFmtId="165" fontId="9" fillId="2" borderId="3" xfId="0" applyNumberFormat="1" applyFont="1" applyFill="1" applyBorder="1" applyAlignment="1">
      <alignment horizontal="right"/>
    </xf>
    <xf numFmtId="0" fontId="7" fillId="2" borderId="10" xfId="0" applyFont="1" applyFill="1" applyBorder="1"/>
    <xf numFmtId="165" fontId="0" fillId="2" borderId="5" xfId="0" applyNumberFormat="1" applyFill="1" applyBorder="1"/>
    <xf numFmtId="10" fontId="0" fillId="2" borderId="5" xfId="1" applyNumberFormat="1" applyFont="1" applyFill="1" applyBorder="1"/>
    <xf numFmtId="0" fontId="25" fillId="2" borderId="10" xfId="0" applyFont="1" applyFill="1" applyBorder="1"/>
    <xf numFmtId="0" fontId="8" fillId="2" borderId="12" xfId="0" applyFont="1" applyFill="1" applyBorder="1" applyAlignment="1">
      <alignment horizontal="right" indent="1"/>
    </xf>
    <xf numFmtId="165" fontId="8" fillId="2" borderId="12" xfId="0" applyNumberFormat="1" applyFont="1" applyFill="1" applyBorder="1" applyAlignment="1">
      <alignment horizontal="right" indent="1"/>
    </xf>
    <xf numFmtId="165" fontId="9" fillId="2" borderId="14" xfId="0" applyNumberFormat="1" applyFont="1" applyFill="1" applyBorder="1" applyAlignment="1">
      <alignment horizontal="right"/>
    </xf>
    <xf numFmtId="9" fontId="7" fillId="2" borderId="14" xfId="1" applyFont="1" applyFill="1" applyBorder="1"/>
    <xf numFmtId="165" fontId="7" fillId="2" borderId="14" xfId="0" applyNumberFormat="1" applyFont="1" applyFill="1" applyBorder="1"/>
    <xf numFmtId="10" fontId="7" fillId="2" borderId="14" xfId="1" applyNumberFormat="1" applyFont="1" applyFill="1" applyBorder="1"/>
    <xf numFmtId="165" fontId="7" fillId="2" borderId="14" xfId="1" applyNumberFormat="1" applyFont="1" applyFill="1" applyBorder="1"/>
    <xf numFmtId="9" fontId="7" fillId="2" borderId="14" xfId="1" applyNumberFormat="1" applyFont="1" applyFill="1" applyBorder="1"/>
    <xf numFmtId="166" fontId="7" fillId="2" borderId="12" xfId="1" applyNumberFormat="1" applyFont="1" applyFill="1" applyBorder="1"/>
    <xf numFmtId="165" fontId="7" fillId="2" borderId="15" xfId="0" applyNumberFormat="1" applyFont="1" applyFill="1" applyBorder="1"/>
    <xf numFmtId="0" fontId="8" fillId="2" borderId="15" xfId="0" applyFont="1" applyFill="1" applyBorder="1" applyAlignment="1">
      <alignment horizontal="right" indent="1"/>
    </xf>
    <xf numFmtId="165" fontId="9" fillId="2" borderId="15" xfId="0" applyNumberFormat="1" applyFont="1" applyFill="1" applyBorder="1"/>
    <xf numFmtId="10" fontId="7" fillId="2" borderId="15" xfId="1" applyNumberFormat="1" applyFont="1" applyFill="1" applyBorder="1"/>
    <xf numFmtId="1" fontId="18" fillId="0" borderId="10" xfId="0" applyNumberFormat="1" applyFont="1" applyFill="1" applyBorder="1"/>
    <xf numFmtId="1" fontId="18" fillId="2" borderId="12" xfId="0" applyNumberFormat="1" applyFont="1" applyFill="1" applyBorder="1"/>
    <xf numFmtId="1" fontId="18" fillId="2" borderId="9" xfId="0" applyNumberFormat="1" applyFont="1" applyFill="1" applyBorder="1"/>
    <xf numFmtId="165" fontId="14" fillId="2" borderId="12" xfId="1" applyNumberFormat="1" applyFont="1" applyFill="1" applyBorder="1"/>
    <xf numFmtId="2" fontId="15" fillId="2" borderId="8" xfId="0" applyNumberFormat="1" applyFont="1" applyFill="1" applyBorder="1"/>
    <xf numFmtId="2" fontId="15" fillId="2" borderId="5" xfId="0" applyNumberFormat="1" applyFont="1" applyFill="1" applyBorder="1"/>
    <xf numFmtId="165" fontId="15" fillId="2" borderId="5" xfId="0" applyNumberFormat="1" applyFont="1" applyFill="1" applyBorder="1"/>
    <xf numFmtId="165" fontId="15" fillId="2" borderId="14" xfId="0" applyNumberFormat="1" applyFont="1" applyFill="1" applyBorder="1"/>
    <xf numFmtId="165" fontId="15" fillId="2" borderId="0" xfId="0" applyNumberFormat="1" applyFont="1" applyFill="1" applyBorder="1"/>
    <xf numFmtId="0" fontId="8" fillId="2" borderId="0" xfId="0" applyFont="1" applyFill="1" applyBorder="1" applyAlignment="1">
      <alignment horizontal="left"/>
    </xf>
    <xf numFmtId="0" fontId="6" fillId="2" borderId="9" xfId="0" applyFont="1" applyFill="1" applyBorder="1" applyAlignment="1">
      <alignment horizontal="right" indent="1"/>
    </xf>
    <xf numFmtId="0" fontId="6" fillId="2" borderId="7" xfId="0" applyFont="1" applyFill="1" applyBorder="1" applyAlignment="1">
      <alignment horizontal="right" indent="1"/>
    </xf>
    <xf numFmtId="0" fontId="6" fillId="2" borderId="8" xfId="0" applyFont="1" applyFill="1" applyBorder="1" applyAlignment="1">
      <alignment horizontal="right" indent="1"/>
    </xf>
    <xf numFmtId="0" fontId="6" fillId="2" borderId="10" xfId="0" applyFont="1" applyFill="1" applyBorder="1" applyAlignment="1">
      <alignment horizontal="right" indent="1"/>
    </xf>
    <xf numFmtId="166" fontId="7" fillId="2" borderId="7" xfId="1" applyNumberFormat="1" applyFont="1" applyFill="1" applyBorder="1"/>
    <xf numFmtId="0" fontId="7" fillId="2" borderId="3" xfId="0" applyFont="1" applyFill="1" applyBorder="1"/>
    <xf numFmtId="1" fontId="7" fillId="2" borderId="3" xfId="0" applyNumberFormat="1" applyFont="1" applyFill="1" applyBorder="1"/>
    <xf numFmtId="165" fontId="6" fillId="2" borderId="9" xfId="0" applyNumberFormat="1" applyFont="1" applyFill="1" applyBorder="1"/>
    <xf numFmtId="165" fontId="6" fillId="2" borderId="10" xfId="0" applyNumberFormat="1" applyFont="1" applyFill="1" applyBorder="1"/>
    <xf numFmtId="1" fontId="6" fillId="2" borderId="5" xfId="0" applyNumberFormat="1" applyFont="1" applyFill="1" applyBorder="1"/>
    <xf numFmtId="1" fontId="6" fillId="2" borderId="0" xfId="0" applyNumberFormat="1" applyFont="1" applyFill="1" applyBorder="1"/>
    <xf numFmtId="0" fontId="6" fillId="2" borderId="5" xfId="0" applyFont="1" applyFill="1" applyBorder="1"/>
    <xf numFmtId="0" fontId="6" fillId="2" borderId="8" xfId="0" applyFont="1" applyFill="1" applyBorder="1"/>
    <xf numFmtId="1" fontId="6" fillId="2" borderId="6" xfId="0" applyNumberFormat="1" applyFont="1" applyFill="1" applyBorder="1"/>
    <xf numFmtId="0" fontId="8" fillId="2" borderId="0" xfId="0" applyFont="1" applyFill="1" applyBorder="1"/>
    <xf numFmtId="0" fontId="33" fillId="3" borderId="0" xfId="0" applyFont="1" applyFill="1" applyBorder="1"/>
    <xf numFmtId="0" fontId="28" fillId="3" borderId="0" xfId="0" applyFont="1" applyFill="1" applyBorder="1"/>
    <xf numFmtId="0" fontId="28" fillId="3" borderId="5" xfId="0" applyFont="1" applyFill="1" applyBorder="1"/>
    <xf numFmtId="0" fontId="33" fillId="3" borderId="7" xfId="0" applyFont="1" applyFill="1" applyBorder="1"/>
    <xf numFmtId="0" fontId="8" fillId="2" borderId="5" xfId="0" applyFont="1" applyFill="1" applyBorder="1"/>
    <xf numFmtId="0" fontId="4" fillId="2" borderId="7" xfId="0" applyFont="1" applyFill="1" applyBorder="1"/>
    <xf numFmtId="0" fontId="28" fillId="2" borderId="7" xfId="0" applyFont="1" applyFill="1" applyBorder="1"/>
    <xf numFmtId="0" fontId="28" fillId="2" borderId="8" xfId="0" applyFont="1" applyFill="1" applyBorder="1"/>
    <xf numFmtId="0" fontId="6" fillId="2" borderId="0" xfId="0" applyFont="1" applyFill="1" applyBorder="1" applyAlignment="1">
      <alignment horizontal="right" indent="1"/>
    </xf>
    <xf numFmtId="0" fontId="6" fillId="2" borderId="5" xfId="0" applyFont="1" applyFill="1" applyBorder="1" applyAlignment="1">
      <alignment horizontal="right" indent="1"/>
    </xf>
    <xf numFmtId="0" fontId="6" fillId="2" borderId="2" xfId="0" applyFont="1" applyFill="1" applyBorder="1" applyAlignment="1">
      <alignment horizontal="right" indent="1"/>
    </xf>
    <xf numFmtId="0" fontId="6" fillId="2" borderId="3" xfId="0" applyFont="1" applyFill="1" applyBorder="1" applyAlignment="1">
      <alignment horizontal="right" indent="1"/>
    </xf>
    <xf numFmtId="165" fontId="0" fillId="2" borderId="0" xfId="0" applyNumberFormat="1" applyFill="1" applyBorder="1"/>
    <xf numFmtId="0" fontId="8" fillId="2" borderId="10" xfId="0" applyFont="1" applyFill="1" applyBorder="1" applyAlignment="1">
      <alignment horizontal="left"/>
    </xf>
    <xf numFmtId="0" fontId="6" fillId="2" borderId="9" xfId="0" applyFont="1" applyFill="1" applyBorder="1" applyAlignment="1">
      <alignment horizontal="left" indent="2"/>
    </xf>
    <xf numFmtId="164" fontId="7" fillId="2" borderId="0" xfId="0" applyNumberFormat="1" applyFont="1" applyFill="1" applyBorder="1"/>
    <xf numFmtId="0" fontId="36" fillId="0" borderId="0" xfId="3" applyFont="1" applyAlignment="1">
      <alignment horizontal="left" indent="1"/>
    </xf>
    <xf numFmtId="0" fontId="36" fillId="0" borderId="0" xfId="3" applyFont="1" applyAlignment="1">
      <alignment horizontal="left" indent="2"/>
    </xf>
    <xf numFmtId="3" fontId="36" fillId="0" borderId="0" xfId="3" applyNumberFormat="1" applyFont="1" applyAlignment="1">
      <alignment horizontal="left"/>
    </xf>
    <xf numFmtId="172" fontId="37" fillId="6" borderId="0" xfId="0" applyNumberFormat="1" applyFont="1" applyFill="1"/>
    <xf numFmtId="172" fontId="37" fillId="6" borderId="0" xfId="0" applyNumberFormat="1" applyFont="1" applyFill="1" applyAlignment="1">
      <alignment horizontal="right"/>
    </xf>
    <xf numFmtId="173" fontId="37" fillId="6" borderId="0" xfId="0" applyNumberFormat="1" applyFont="1" applyFill="1" applyAlignment="1">
      <alignment horizontal="right"/>
    </xf>
    <xf numFmtId="173" fontId="36" fillId="6" borderId="0" xfId="0" applyNumberFormat="1" applyFont="1" applyFill="1" applyAlignment="1">
      <alignment horizontal="right"/>
    </xf>
    <xf numFmtId="0" fontId="34" fillId="6" borderId="0" xfId="0" applyFont="1" applyFill="1"/>
    <xf numFmtId="172" fontId="36" fillId="6" borderId="0" xfId="0" applyNumberFormat="1" applyFont="1" applyFill="1"/>
    <xf numFmtId="173" fontId="36" fillId="6" borderId="0" xfId="0" applyNumberFormat="1" applyFont="1" applyFill="1" applyAlignment="1">
      <alignment horizontal="right" wrapText="1"/>
    </xf>
    <xf numFmtId="172" fontId="36" fillId="6" borderId="0" xfId="0" applyNumberFormat="1" applyFont="1" applyFill="1" applyAlignment="1">
      <alignment horizontal="right"/>
    </xf>
    <xf numFmtId="2" fontId="29" fillId="3" borderId="0" xfId="0" applyNumberFormat="1" applyFont="1" applyFill="1" applyBorder="1"/>
    <xf numFmtId="1" fontId="29" fillId="3" borderId="0" xfId="0" applyNumberFormat="1" applyFont="1" applyFill="1" applyBorder="1" applyAlignment="1">
      <alignment horizontal="right"/>
    </xf>
    <xf numFmtId="1" fontId="29" fillId="3" borderId="0" xfId="0" applyNumberFormat="1" applyFont="1" applyFill="1" applyBorder="1"/>
    <xf numFmtId="0" fontId="29" fillId="3" borderId="0" xfId="0" applyFont="1" applyFill="1" applyBorder="1"/>
    <xf numFmtId="10" fontId="29" fillId="3" borderId="0" xfId="1" applyNumberFormat="1" applyFont="1" applyFill="1" applyBorder="1"/>
    <xf numFmtId="9" fontId="29" fillId="3" borderId="0" xfId="1" applyFont="1" applyFill="1" applyBorder="1"/>
    <xf numFmtId="171" fontId="29" fillId="3" borderId="0" xfId="1" applyNumberFormat="1" applyFont="1" applyFill="1" applyBorder="1"/>
    <xf numFmtId="165" fontId="7" fillId="2" borderId="4" xfId="0" applyNumberFormat="1" applyFont="1" applyFill="1" applyBorder="1" applyAlignment="1">
      <alignment horizontal="right"/>
    </xf>
    <xf numFmtId="165" fontId="7" fillId="2" borderId="5" xfId="0" applyNumberFormat="1" applyFont="1" applyFill="1" applyBorder="1" applyAlignment="1">
      <alignment horizontal="right"/>
    </xf>
    <xf numFmtId="166" fontId="7" fillId="2" borderId="14" xfId="1" applyNumberFormat="1" applyFont="1" applyFill="1" applyBorder="1"/>
    <xf numFmtId="0" fontId="7" fillId="2" borderId="0" xfId="0" applyFont="1" applyFill="1" applyBorder="1" applyAlignment="1">
      <alignment horizontal="left" indent="1"/>
    </xf>
    <xf numFmtId="0" fontId="10" fillId="2" borderId="5" xfId="0" applyFont="1" applyFill="1" applyBorder="1"/>
    <xf numFmtId="0" fontId="38" fillId="2" borderId="0" xfId="0" applyFont="1" applyFill="1" applyBorder="1"/>
    <xf numFmtId="0" fontId="8" fillId="2" borderId="0" xfId="0" applyFont="1" applyFill="1" applyBorder="1" applyAlignment="1">
      <alignment horizontal="left" indent="3"/>
    </xf>
    <xf numFmtId="0" fontId="29" fillId="2" borderId="5" xfId="0" applyFont="1" applyFill="1" applyBorder="1"/>
    <xf numFmtId="1" fontId="7" fillId="2" borderId="1" xfId="0" applyNumberFormat="1" applyFont="1" applyFill="1" applyBorder="1"/>
    <xf numFmtId="1" fontId="7" fillId="2" borderId="2" xfId="0" applyNumberFormat="1" applyFont="1" applyFill="1" applyBorder="1"/>
    <xf numFmtId="0" fontId="6" fillId="2" borderId="11" xfId="0" applyFont="1" applyFill="1" applyBorder="1" applyAlignment="1">
      <alignment horizontal="right" indent="1"/>
    </xf>
    <xf numFmtId="165" fontId="8" fillId="2" borderId="11" xfId="0" applyNumberFormat="1" applyFont="1" applyFill="1" applyBorder="1" applyAlignment="1">
      <alignment horizontal="right" indent="1"/>
    </xf>
    <xf numFmtId="165" fontId="9" fillId="2" borderId="4" xfId="0" applyNumberFormat="1" applyFont="1" applyFill="1" applyBorder="1" applyAlignment="1">
      <alignment horizontal="right"/>
    </xf>
    <xf numFmtId="9" fontId="7" fillId="2" borderId="4" xfId="1" applyNumberFormat="1" applyFont="1" applyFill="1" applyBorder="1"/>
    <xf numFmtId="166" fontId="7" fillId="2" borderId="4" xfId="1" applyNumberFormat="1" applyFont="1" applyFill="1" applyBorder="1"/>
    <xf numFmtId="165" fontId="9" fillId="2" borderId="4" xfId="1" applyNumberFormat="1" applyFont="1" applyFill="1" applyBorder="1"/>
    <xf numFmtId="165" fontId="7" fillId="2" borderId="6" xfId="1" applyNumberFormat="1" applyFont="1" applyFill="1" applyBorder="1"/>
    <xf numFmtId="165" fontId="7" fillId="2" borderId="4" xfId="0" applyNumberFormat="1" applyFont="1" applyFill="1" applyBorder="1"/>
    <xf numFmtId="165" fontId="7" fillId="2" borderId="6" xfId="0" applyNumberFormat="1" applyFont="1" applyFill="1" applyBorder="1"/>
    <xf numFmtId="165" fontId="7" fillId="2" borderId="11" xfId="0" applyNumberFormat="1" applyFont="1" applyFill="1" applyBorder="1"/>
    <xf numFmtId="165" fontId="15" fillId="2" borderId="11" xfId="0" applyNumberFormat="1" applyFont="1" applyFill="1" applyBorder="1"/>
    <xf numFmtId="0" fontId="29" fillId="2" borderId="4" xfId="0" applyFont="1" applyFill="1" applyBorder="1"/>
    <xf numFmtId="2" fontId="0" fillId="2" borderId="4" xfId="0" applyNumberFormat="1" applyFill="1" applyBorder="1"/>
    <xf numFmtId="0" fontId="8" fillId="2" borderId="6" xfId="0" applyFont="1" applyFill="1" applyBorder="1" applyAlignment="1">
      <alignment horizontal="right" indent="1"/>
    </xf>
    <xf numFmtId="9" fontId="7" fillId="2" borderId="4" xfId="1" applyFont="1" applyFill="1" applyBorder="1"/>
    <xf numFmtId="2" fontId="9" fillId="2" borderId="4" xfId="0" applyNumberFormat="1" applyFont="1" applyFill="1" applyBorder="1"/>
    <xf numFmtId="165" fontId="9" fillId="2" borderId="6" xfId="0" applyNumberFormat="1" applyFont="1" applyFill="1" applyBorder="1"/>
    <xf numFmtId="165" fontId="9" fillId="2" borderId="4" xfId="0" applyNumberFormat="1" applyFont="1" applyFill="1" applyBorder="1"/>
    <xf numFmtId="169" fontId="7" fillId="2" borderId="4" xfId="0" applyNumberFormat="1" applyFont="1" applyFill="1" applyBorder="1"/>
    <xf numFmtId="0" fontId="6" fillId="2" borderId="6" xfId="0" applyFont="1" applyFill="1" applyBorder="1" applyAlignment="1">
      <alignment horizontal="right" indent="1"/>
    </xf>
    <xf numFmtId="165" fontId="21" fillId="2" borderId="4" xfId="0" applyNumberFormat="1" applyFont="1" applyFill="1" applyBorder="1"/>
    <xf numFmtId="165" fontId="21" fillId="2" borderId="0" xfId="0" applyNumberFormat="1" applyFont="1" applyFill="1" applyBorder="1"/>
    <xf numFmtId="0" fontId="26" fillId="2" borderId="4" xfId="0" applyFont="1" applyFill="1" applyBorder="1"/>
    <xf numFmtId="165" fontId="26" fillId="2" borderId="0" xfId="0" applyNumberFormat="1" applyFont="1" applyFill="1" applyBorder="1"/>
    <xf numFmtId="1" fontId="7" fillId="2" borderId="12" xfId="0" applyNumberFormat="1" applyFont="1" applyFill="1" applyBorder="1"/>
    <xf numFmtId="0" fontId="6" fillId="2" borderId="15" xfId="0" applyFont="1" applyFill="1" applyBorder="1" applyAlignment="1">
      <alignment horizontal="right" indent="1"/>
    </xf>
    <xf numFmtId="165" fontId="8" fillId="2" borderId="15" xfId="0" applyNumberFormat="1" applyFont="1" applyFill="1" applyBorder="1" applyAlignment="1">
      <alignment horizontal="right" indent="1"/>
    </xf>
    <xf numFmtId="165" fontId="18" fillId="2" borderId="14" xfId="1" applyNumberFormat="1" applyFont="1" applyFill="1" applyBorder="1"/>
    <xf numFmtId="165" fontId="7" fillId="2" borderId="15" xfId="1" applyNumberFormat="1" applyFont="1" applyFill="1" applyBorder="1"/>
    <xf numFmtId="2" fontId="7" fillId="2" borderId="14" xfId="1" applyNumberFormat="1" applyFont="1" applyFill="1" applyBorder="1"/>
    <xf numFmtId="165" fontId="15" fillId="2" borderId="15" xfId="0" applyNumberFormat="1" applyFont="1" applyFill="1" applyBorder="1"/>
    <xf numFmtId="0" fontId="28" fillId="2" borderId="14" xfId="0" applyFont="1" applyFill="1" applyBorder="1"/>
    <xf numFmtId="2" fontId="0" fillId="2" borderId="14" xfId="0" applyNumberFormat="1" applyFill="1" applyBorder="1"/>
    <xf numFmtId="1" fontId="6" fillId="2" borderId="15" xfId="0" applyNumberFormat="1" applyFont="1" applyFill="1" applyBorder="1"/>
    <xf numFmtId="165" fontId="9" fillId="2" borderId="14" xfId="1" applyNumberFormat="1" applyFont="1" applyFill="1" applyBorder="1"/>
    <xf numFmtId="165" fontId="15" fillId="2" borderId="12" xfId="0" applyNumberFormat="1" applyFont="1" applyFill="1" applyBorder="1"/>
    <xf numFmtId="165" fontId="21" fillId="2" borderId="14" xfId="0" applyNumberFormat="1" applyFont="1" applyFill="1" applyBorder="1"/>
    <xf numFmtId="165" fontId="24" fillId="2" borderId="14" xfId="0" applyNumberFormat="1" applyFont="1" applyFill="1" applyBorder="1"/>
    <xf numFmtId="2" fontId="7" fillId="2" borderId="14" xfId="0" applyNumberFormat="1" applyFont="1" applyFill="1" applyBorder="1"/>
    <xf numFmtId="0" fontId="0" fillId="2" borderId="12" xfId="0" applyFill="1" applyBorder="1"/>
    <xf numFmtId="1" fontId="7" fillId="2" borderId="11" xfId="0" applyNumberFormat="1" applyFont="1" applyFill="1" applyBorder="1"/>
    <xf numFmtId="165" fontId="18" fillId="2" borderId="4" xfId="1" applyNumberFormat="1" applyFont="1" applyFill="1" applyBorder="1"/>
    <xf numFmtId="10" fontId="7" fillId="2" borderId="4" xfId="1" applyNumberFormat="1" applyFont="1" applyFill="1" applyBorder="1"/>
    <xf numFmtId="165" fontId="7" fillId="2" borderId="4" xfId="1" applyNumberFormat="1" applyFont="1" applyFill="1" applyBorder="1"/>
    <xf numFmtId="2" fontId="7" fillId="2" borderId="4" xfId="1" applyNumberFormat="1" applyFont="1" applyFill="1" applyBorder="1"/>
    <xf numFmtId="10" fontId="7" fillId="2" borderId="6" xfId="1" applyNumberFormat="1" applyFont="1" applyFill="1" applyBorder="1"/>
    <xf numFmtId="165" fontId="14" fillId="2" borderId="4" xfId="1" applyNumberFormat="1" applyFont="1" applyFill="1" applyBorder="1"/>
    <xf numFmtId="165" fontId="29" fillId="2" borderId="5" xfId="1" applyNumberFormat="1" applyFont="1" applyFill="1" applyBorder="1"/>
    <xf numFmtId="0" fontId="7" fillId="2" borderId="6" xfId="0" applyFont="1" applyFill="1" applyBorder="1"/>
    <xf numFmtId="165" fontId="31" fillId="3" borderId="4" xfId="0" applyNumberFormat="1" applyFont="1" applyFill="1" applyBorder="1"/>
    <xf numFmtId="165" fontId="24" fillId="2" borderId="0" xfId="0" applyNumberFormat="1" applyFont="1" applyFill="1" applyBorder="1"/>
    <xf numFmtId="2" fontId="7" fillId="2" borderId="4" xfId="0" applyNumberFormat="1" applyFont="1" applyFill="1" applyBorder="1"/>
    <xf numFmtId="2" fontId="7" fillId="2" borderId="15" xfId="0" applyNumberFormat="1" applyFont="1" applyFill="1" applyBorder="1"/>
    <xf numFmtId="0" fontId="39" fillId="2" borderId="2" xfId="0" applyFont="1" applyFill="1" applyBorder="1"/>
    <xf numFmtId="0" fontId="39" fillId="2" borderId="0" xfId="0" applyFont="1" applyFill="1" applyBorder="1"/>
    <xf numFmtId="0" fontId="39" fillId="2" borderId="7" xfId="0" applyFont="1" applyFill="1" applyBorder="1"/>
    <xf numFmtId="0" fontId="19" fillId="2" borderId="16" xfId="0" applyFont="1" applyFill="1" applyBorder="1"/>
    <xf numFmtId="0" fontId="19" fillId="2" borderId="17" xfId="0" applyFont="1" applyFill="1" applyBorder="1"/>
    <xf numFmtId="0" fontId="19" fillId="2" borderId="0" xfId="0" applyFont="1" applyFill="1"/>
    <xf numFmtId="17" fontId="40" fillId="2" borderId="0" xfId="0" applyNumberFormat="1" applyFont="1" applyFill="1" applyAlignment="1">
      <alignment horizontal="left" vertical="center" wrapText="1"/>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165" fontId="6" fillId="2" borderId="3" xfId="0" applyNumberFormat="1" applyFont="1" applyFill="1" applyBorder="1"/>
    <xf numFmtId="166" fontId="7" fillId="2" borderId="8" xfId="1" applyNumberFormat="1" applyFont="1" applyFill="1" applyBorder="1"/>
    <xf numFmtId="0" fontId="15" fillId="2" borderId="0" xfId="0" applyFont="1" applyFill="1" applyBorder="1"/>
    <xf numFmtId="1" fontId="17" fillId="2" borderId="0" xfId="0" applyNumberFormat="1" applyFont="1" applyFill="1" applyBorder="1"/>
    <xf numFmtId="175" fontId="7" fillId="2" borderId="0" xfId="4" applyNumberFormat="1" applyFont="1" applyFill="1" applyBorder="1"/>
    <xf numFmtId="175" fontId="6" fillId="2" borderId="0" xfId="4" applyNumberFormat="1" applyFont="1" applyFill="1" applyBorder="1"/>
    <xf numFmtId="2" fontId="17" fillId="2" borderId="0" xfId="0" applyNumberFormat="1" applyFont="1" applyFill="1" applyBorder="1"/>
    <xf numFmtId="175" fontId="7" fillId="2" borderId="0" xfId="0" applyNumberFormat="1" applyFont="1" applyFill="1" applyBorder="1"/>
    <xf numFmtId="165" fontId="44" fillId="3" borderId="5" xfId="0" applyNumberFormat="1" applyFont="1" applyFill="1" applyBorder="1"/>
    <xf numFmtId="1" fontId="17" fillId="2" borderId="5" xfId="0" applyNumberFormat="1" applyFont="1" applyFill="1" applyBorder="1"/>
    <xf numFmtId="175" fontId="6" fillId="2" borderId="5" xfId="4" applyNumberFormat="1" applyFont="1" applyFill="1" applyBorder="1"/>
    <xf numFmtId="2" fontId="17" fillId="2" borderId="5" xfId="0" applyNumberFormat="1" applyFont="1" applyFill="1" applyBorder="1"/>
    <xf numFmtId="175" fontId="7" fillId="2" borderId="5" xfId="0" applyNumberFormat="1" applyFont="1" applyFill="1" applyBorder="1"/>
    <xf numFmtId="175" fontId="7" fillId="2" borderId="5" xfId="4" applyNumberFormat="1" applyFont="1" applyFill="1" applyBorder="1"/>
    <xf numFmtId="0" fontId="17" fillId="2" borderId="7" xfId="0" applyFont="1" applyFill="1" applyBorder="1"/>
    <xf numFmtId="175" fontId="7" fillId="2" borderId="7" xfId="4" applyNumberFormat="1" applyFont="1" applyFill="1" applyBorder="1"/>
    <xf numFmtId="175" fontId="7" fillId="2" borderId="8" xfId="4" applyNumberFormat="1" applyFont="1" applyFill="1" applyBorder="1"/>
    <xf numFmtId="165" fontId="17" fillId="2" borderId="0" xfId="0" applyNumberFormat="1" applyFont="1" applyFill="1" applyBorder="1"/>
    <xf numFmtId="0" fontId="6" fillId="2" borderId="7" xfId="0" applyFont="1" applyFill="1" applyBorder="1" applyAlignment="1">
      <alignment horizontal="right"/>
    </xf>
    <xf numFmtId="0" fontId="6" fillId="2" borderId="10" xfId="0" applyFont="1" applyFill="1" applyBorder="1" applyAlignment="1">
      <alignment horizontal="right"/>
    </xf>
    <xf numFmtId="165" fontId="6" fillId="2" borderId="7" xfId="0" applyNumberFormat="1" applyFont="1" applyFill="1" applyBorder="1"/>
    <xf numFmtId="165" fontId="6" fillId="2" borderId="8" xfId="0" applyNumberFormat="1" applyFont="1" applyFill="1" applyBorder="1"/>
    <xf numFmtId="165" fontId="17" fillId="2" borderId="5" xfId="0" applyNumberFormat="1" applyFont="1" applyFill="1" applyBorder="1"/>
    <xf numFmtId="0" fontId="2" fillId="2" borderId="8" xfId="0" applyFont="1" applyFill="1" applyBorder="1"/>
    <xf numFmtId="164" fontId="8" fillId="2" borderId="7" xfId="0" applyNumberFormat="1" applyFont="1" applyFill="1" applyBorder="1"/>
    <xf numFmtId="0" fontId="8" fillId="2" borderId="3" xfId="0" applyFont="1" applyFill="1" applyBorder="1"/>
    <xf numFmtId="164" fontId="8" fillId="2" borderId="8" xfId="0" applyNumberFormat="1" applyFont="1" applyFill="1" applyBorder="1"/>
    <xf numFmtId="0" fontId="16" fillId="2" borderId="7" xfId="0" applyFont="1" applyFill="1" applyBorder="1"/>
    <xf numFmtId="0" fontId="10" fillId="2" borderId="8" xfId="0" applyFont="1" applyFill="1" applyBorder="1"/>
    <xf numFmtId="164" fontId="8" fillId="2" borderId="0" xfId="0" applyNumberFormat="1" applyFont="1" applyFill="1" applyBorder="1"/>
    <xf numFmtId="2" fontId="58" fillId="2" borderId="0" xfId="0" applyNumberFormat="1" applyFont="1" applyFill="1" applyBorder="1"/>
    <xf numFmtId="0" fontId="6" fillId="2" borderId="12" xfId="0" applyFont="1" applyFill="1" applyBorder="1" applyAlignment="1">
      <alignment horizontal="right" indent="1"/>
    </xf>
    <xf numFmtId="0" fontId="6" fillId="2" borderId="14" xfId="0" applyFont="1" applyFill="1" applyBorder="1" applyAlignment="1">
      <alignment horizontal="right" indent="1"/>
    </xf>
    <xf numFmtId="0" fontId="2" fillId="2" borderId="14" xfId="0" applyFont="1" applyFill="1" applyBorder="1"/>
    <xf numFmtId="175" fontId="7" fillId="2" borderId="14" xfId="4" applyNumberFormat="1" applyFont="1" applyFill="1" applyBorder="1"/>
    <xf numFmtId="165" fontId="7" fillId="2" borderId="10" xfId="1" applyNumberFormat="1" applyFont="1" applyFill="1" applyBorder="1"/>
    <xf numFmtId="1" fontId="18" fillId="2" borderId="10" xfId="0" applyNumberFormat="1" applyFont="1" applyFill="1" applyBorder="1"/>
    <xf numFmtId="2" fontId="58" fillId="2" borderId="5" xfId="0" applyNumberFormat="1" applyFont="1" applyFill="1" applyBorder="1"/>
    <xf numFmtId="0" fontId="2" fillId="2" borderId="15" xfId="0" applyFont="1" applyFill="1" applyBorder="1"/>
    <xf numFmtId="167" fontId="7" fillId="2" borderId="7" xfId="0" applyNumberFormat="1" applyFont="1" applyFill="1" applyBorder="1"/>
    <xf numFmtId="167" fontId="7" fillId="2" borderId="8" xfId="0" applyNumberFormat="1" applyFont="1" applyFill="1" applyBorder="1"/>
    <xf numFmtId="0" fontId="6" fillId="2" borderId="9" xfId="0" applyFont="1" applyFill="1" applyBorder="1" applyAlignment="1">
      <alignment horizontal="left" indent="3"/>
    </xf>
    <xf numFmtId="0" fontId="59" fillId="3" borderId="0" xfId="0" applyFont="1" applyFill="1" applyBorder="1"/>
    <xf numFmtId="0" fontId="59" fillId="3" borderId="5" xfId="0" applyFont="1" applyFill="1" applyBorder="1"/>
    <xf numFmtId="0" fontId="6" fillId="2" borderId="10" xfId="0" applyFont="1" applyFill="1" applyBorder="1" applyAlignment="1">
      <alignment horizontal="left" indent="3"/>
    </xf>
    <xf numFmtId="1" fontId="60" fillId="2" borderId="0" xfId="0" applyNumberFormat="1" applyFont="1" applyFill="1" applyBorder="1"/>
    <xf numFmtId="1" fontId="60" fillId="2" borderId="5" xfId="0" applyNumberFormat="1" applyFont="1" applyFill="1" applyBorder="1"/>
    <xf numFmtId="0" fontId="61" fillId="2" borderId="0" xfId="0" applyFont="1" applyFill="1" applyBorder="1" applyAlignment="1">
      <alignment horizontal="right" indent="1"/>
    </xf>
    <xf numFmtId="0" fontId="61" fillId="2" borderId="5" xfId="0" applyFont="1" applyFill="1" applyBorder="1" applyAlignment="1">
      <alignment horizontal="right" indent="1"/>
    </xf>
    <xf numFmtId="165" fontId="60" fillId="2" borderId="0" xfId="0" applyNumberFormat="1" applyFont="1" applyFill="1" applyBorder="1"/>
    <xf numFmtId="165" fontId="60" fillId="2" borderId="5" xfId="0" applyNumberFormat="1" applyFont="1" applyFill="1" applyBorder="1"/>
    <xf numFmtId="0" fontId="60" fillId="2" borderId="0" xfId="0" applyFont="1" applyFill="1" applyBorder="1"/>
    <xf numFmtId="0" fontId="60" fillId="2" borderId="5" xfId="0" applyFont="1" applyFill="1" applyBorder="1"/>
    <xf numFmtId="0" fontId="6" fillId="2" borderId="10" xfId="0" applyFont="1" applyFill="1" applyBorder="1" applyAlignment="1">
      <alignment horizontal="left" indent="2"/>
    </xf>
    <xf numFmtId="0" fontId="64" fillId="2" borderId="0" xfId="51" applyFont="1" applyFill="1" applyAlignment="1">
      <alignment horizontal="left"/>
    </xf>
    <xf numFmtId="0" fontId="62" fillId="2" borderId="0" xfId="51" applyFill="1"/>
    <xf numFmtId="0" fontId="63" fillId="2" borderId="0" xfId="51" applyFont="1" applyFill="1" applyAlignment="1">
      <alignment horizontal="left" wrapText="1"/>
    </xf>
    <xf numFmtId="0" fontId="63" fillId="2" borderId="0" xfId="51" applyFont="1" applyFill="1" applyAlignment="1">
      <alignment horizontal="right"/>
    </xf>
    <xf numFmtId="0" fontId="63" fillId="2" borderId="0" xfId="51" applyFont="1" applyFill="1" applyAlignment="1">
      <alignment horizontal="left"/>
    </xf>
    <xf numFmtId="0" fontId="63" fillId="2" borderId="0" xfId="51" applyFont="1" applyFill="1" applyAlignment="1">
      <alignment horizontal="left" indent="1"/>
    </xf>
    <xf numFmtId="3" fontId="63" fillId="2" borderId="0" xfId="51" applyNumberFormat="1" applyFont="1" applyFill="1" applyAlignment="1">
      <alignment horizontal="right"/>
    </xf>
    <xf numFmtId="0" fontId="63" fillId="2" borderId="0" xfId="51" applyFont="1" applyFill="1" applyAlignment="1">
      <alignment horizontal="left" indent="2"/>
    </xf>
    <xf numFmtId="0" fontId="63" fillId="2" borderId="0" xfId="51" applyFont="1" applyFill="1"/>
    <xf numFmtId="0" fontId="34" fillId="2" borderId="0" xfId="0" applyFont="1" applyFill="1"/>
    <xf numFmtId="0" fontId="63" fillId="2" borderId="9" xfId="51" applyFont="1" applyFill="1" applyBorder="1" applyAlignment="1">
      <alignment horizontal="right" wrapText="1"/>
    </xf>
    <xf numFmtId="3" fontId="7" fillId="2" borderId="0" xfId="0" applyNumberFormat="1" applyFont="1" applyFill="1" applyBorder="1"/>
    <xf numFmtId="1" fontId="7" fillId="2" borderId="4" xfId="0" applyNumberFormat="1" applyFont="1" applyFill="1" applyBorder="1"/>
    <xf numFmtId="3" fontId="7" fillId="2" borderId="5" xfId="0" applyNumberFormat="1" applyFont="1" applyFill="1" applyBorder="1"/>
    <xf numFmtId="0" fontId="7" fillId="2" borderId="27" xfId="0" applyFont="1" applyFill="1" applyBorder="1"/>
    <xf numFmtId="0" fontId="7" fillId="2" borderId="33" xfId="0" applyFont="1" applyFill="1" applyBorder="1"/>
    <xf numFmtId="0" fontId="0" fillId="2" borderId="32" xfId="0" applyFill="1" applyBorder="1"/>
    <xf numFmtId="0" fontId="0" fillId="2" borderId="31" xfId="0" applyFill="1" applyBorder="1"/>
    <xf numFmtId="0" fontId="6" fillId="2" borderId="31" xfId="0" applyFont="1" applyFill="1" applyBorder="1" applyAlignment="1">
      <alignment horizontal="right"/>
    </xf>
    <xf numFmtId="0" fontId="6" fillId="2" borderId="35" xfId="0" applyFont="1" applyFill="1" applyBorder="1" applyAlignment="1">
      <alignment horizontal="right"/>
    </xf>
    <xf numFmtId="0" fontId="17" fillId="2" borderId="29" xfId="0" applyFont="1" applyFill="1" applyBorder="1"/>
    <xf numFmtId="0" fontId="6" fillId="2" borderId="30" xfId="0" applyFont="1" applyFill="1" applyBorder="1"/>
    <xf numFmtId="0" fontId="2" fillId="2" borderId="29" xfId="0" applyFont="1" applyFill="1" applyBorder="1"/>
    <xf numFmtId="0" fontId="2" fillId="2" borderId="30" xfId="0" applyFont="1" applyFill="1" applyBorder="1"/>
    <xf numFmtId="164" fontId="7" fillId="2" borderId="29" xfId="0" applyNumberFormat="1" applyFont="1" applyFill="1" applyBorder="1"/>
    <xf numFmtId="164" fontId="7" fillId="2" borderId="30" xfId="0" applyNumberFormat="1" applyFont="1" applyFill="1" applyBorder="1"/>
    <xf numFmtId="0" fontId="63" fillId="2" borderId="9" xfId="51" applyFont="1" applyFill="1" applyBorder="1" applyAlignment="1">
      <alignment horizontal="left" wrapText="1"/>
    </xf>
    <xf numFmtId="2" fontId="8" fillId="2" borderId="5" xfId="0" applyNumberFormat="1" applyFont="1" applyFill="1" applyBorder="1"/>
    <xf numFmtId="0" fontId="66" fillId="2" borderId="0" xfId="0" applyFont="1" applyFill="1" applyBorder="1"/>
    <xf numFmtId="1" fontId="7" fillId="2" borderId="14" xfId="0" applyNumberFormat="1" applyFont="1" applyFill="1" applyBorder="1"/>
    <xf numFmtId="175" fontId="7" fillId="2" borderId="14" xfId="0" applyNumberFormat="1" applyFont="1" applyFill="1" applyBorder="1"/>
    <xf numFmtId="0" fontId="2" fillId="2" borderId="38" xfId="0" applyFont="1" applyFill="1" applyBorder="1"/>
    <xf numFmtId="164" fontId="8" fillId="2" borderId="39" xfId="0" applyNumberFormat="1" applyFont="1" applyFill="1" applyBorder="1"/>
    <xf numFmtId="164" fontId="7" fillId="2" borderId="7" xfId="0" applyNumberFormat="1" applyFont="1" applyFill="1" applyBorder="1"/>
    <xf numFmtId="175" fontId="7" fillId="2" borderId="4" xfId="4" applyNumberFormat="1" applyFont="1" applyFill="1" applyBorder="1"/>
    <xf numFmtId="168" fontId="44" fillId="3" borderId="8" xfId="0" applyNumberFormat="1" applyFont="1" applyFill="1" applyBorder="1"/>
    <xf numFmtId="165" fontId="7" fillId="2" borderId="0" xfId="0" applyNumberFormat="1" applyFont="1" applyFill="1"/>
    <xf numFmtId="9" fontId="29" fillId="3" borderId="0" xfId="0" applyNumberFormat="1" applyFont="1" applyFill="1"/>
    <xf numFmtId="9" fontId="29" fillId="3" borderId="7" xfId="0" applyNumberFormat="1" applyFont="1" applyFill="1" applyBorder="1"/>
    <xf numFmtId="2" fontId="7" fillId="2" borderId="3" xfId="0" applyNumberFormat="1" applyFont="1" applyFill="1" applyBorder="1"/>
    <xf numFmtId="3" fontId="7" fillId="2" borderId="14" xfId="0" applyNumberFormat="1" applyFont="1" applyFill="1" applyBorder="1"/>
    <xf numFmtId="0" fontId="6" fillId="2" borderId="12" xfId="0" applyFont="1" applyFill="1" applyBorder="1" applyAlignment="1">
      <alignment horizontal="left" indent="2"/>
    </xf>
    <xf numFmtId="0" fontId="8" fillId="2" borderId="9" xfId="0" applyFont="1" applyFill="1" applyBorder="1"/>
    <xf numFmtId="0" fontId="8" fillId="2" borderId="10" xfId="0" applyFont="1" applyFill="1" applyBorder="1"/>
    <xf numFmtId="0" fontId="8" fillId="2" borderId="12" xfId="0" applyFont="1" applyFill="1" applyBorder="1"/>
    <xf numFmtId="0" fontId="29" fillId="3" borderId="7" xfId="0" applyFont="1" applyFill="1" applyBorder="1" applyAlignment="1">
      <alignment horizontal="right"/>
    </xf>
    <xf numFmtId="0" fontId="29" fillId="3" borderId="8" xfId="0" applyFont="1" applyFill="1" applyBorder="1" applyAlignment="1">
      <alignment horizontal="right"/>
    </xf>
    <xf numFmtId="0" fontId="59" fillId="3" borderId="7" xfId="0" applyFont="1" applyFill="1" applyBorder="1"/>
    <xf numFmtId="0" fontId="14" fillId="3" borderId="8" xfId="0" applyFont="1" applyFill="1" applyBorder="1"/>
    <xf numFmtId="0" fontId="33" fillId="3" borderId="8" xfId="0" applyFont="1" applyFill="1" applyBorder="1"/>
    <xf numFmtId="0" fontId="59" fillId="3" borderId="8" xfId="0" applyFont="1" applyFill="1" applyBorder="1"/>
    <xf numFmtId="164" fontId="7" fillId="2" borderId="8" xfId="0" applyNumberFormat="1" applyFont="1" applyFill="1" applyBorder="1"/>
    <xf numFmtId="0" fontId="17" fillId="2" borderId="2" xfId="0" applyFont="1" applyFill="1" applyBorder="1"/>
    <xf numFmtId="0" fontId="6" fillId="2" borderId="3" xfId="0" applyFont="1" applyFill="1" applyBorder="1"/>
    <xf numFmtId="0" fontId="2" fillId="2" borderId="2" xfId="0" applyFont="1" applyFill="1" applyBorder="1"/>
    <xf numFmtId="0" fontId="2" fillId="2" borderId="3" xfId="0" applyFont="1" applyFill="1" applyBorder="1"/>
    <xf numFmtId="0" fontId="2" fillId="2" borderId="13" xfId="0" applyFont="1" applyFill="1" applyBorder="1"/>
    <xf numFmtId="1" fontId="8" fillId="2" borderId="3" xfId="0" applyNumberFormat="1" applyFont="1" applyFill="1" applyBorder="1"/>
    <xf numFmtId="1" fontId="8" fillId="2" borderId="7" xfId="0" applyNumberFormat="1" applyFont="1" applyFill="1" applyBorder="1"/>
    <xf numFmtId="1" fontId="8" fillId="2" borderId="8" xfId="0" applyNumberFormat="1" applyFont="1" applyFill="1" applyBorder="1"/>
    <xf numFmtId="0" fontId="29" fillId="3" borderId="0" xfId="0" applyFont="1" applyFill="1" applyBorder="1" applyAlignment="1">
      <alignment horizontal="right"/>
    </xf>
    <xf numFmtId="0" fontId="29" fillId="3" borderId="5" xfId="0" applyFont="1" applyFill="1" applyBorder="1" applyAlignment="1">
      <alignment horizontal="right"/>
    </xf>
    <xf numFmtId="0" fontId="6" fillId="2" borderId="12" xfId="0" applyFont="1" applyFill="1" applyBorder="1" applyAlignment="1">
      <alignment horizontal="right"/>
    </xf>
    <xf numFmtId="165" fontId="6" fillId="2" borderId="12" xfId="0" applyNumberFormat="1" applyFont="1" applyFill="1" applyBorder="1"/>
    <xf numFmtId="165" fontId="6" fillId="2" borderId="14" xfId="0" applyNumberFormat="1" applyFont="1" applyFill="1" applyBorder="1"/>
    <xf numFmtId="166" fontId="7" fillId="2" borderId="15" xfId="1" applyNumberFormat="1" applyFont="1" applyFill="1" applyBorder="1"/>
    <xf numFmtId="165" fontId="6" fillId="2" borderId="15" xfId="0" applyNumberFormat="1" applyFont="1" applyFill="1" applyBorder="1"/>
    <xf numFmtId="0" fontId="6" fillId="2" borderId="12" xfId="0" applyFont="1" applyFill="1" applyBorder="1" applyAlignment="1">
      <alignment horizontal="left" indent="3"/>
    </xf>
    <xf numFmtId="175" fontId="7" fillId="2" borderId="4" xfId="0" applyNumberFormat="1" applyFont="1" applyFill="1" applyBorder="1"/>
    <xf numFmtId="175" fontId="8" fillId="2" borderId="0" xfId="0" applyNumberFormat="1" applyFont="1" applyFill="1" applyBorder="1"/>
    <xf numFmtId="175" fontId="8" fillId="2" borderId="5" xfId="0" applyNumberFormat="1" applyFont="1" applyFill="1" applyBorder="1"/>
    <xf numFmtId="1" fontId="8" fillId="2" borderId="1" xfId="0" applyNumberFormat="1" applyFont="1" applyFill="1" applyBorder="1"/>
    <xf numFmtId="1" fontId="8" fillId="2" borderId="2" xfId="0" applyNumberFormat="1" applyFont="1" applyFill="1" applyBorder="1"/>
    <xf numFmtId="167" fontId="7" fillId="2" borderId="1" xfId="0" applyNumberFormat="1" applyFont="1" applyFill="1" applyBorder="1"/>
    <xf numFmtId="167" fontId="7" fillId="2" borderId="2" xfId="0" applyNumberFormat="1" applyFont="1" applyFill="1" applyBorder="1"/>
    <xf numFmtId="167" fontId="7" fillId="2" borderId="3" xfId="0" applyNumberFormat="1" applyFont="1" applyFill="1" applyBorder="1"/>
    <xf numFmtId="0" fontId="7" fillId="39" borderId="27" xfId="0" applyFont="1" applyFill="1" applyBorder="1"/>
    <xf numFmtId="0" fontId="7" fillId="40" borderId="34" xfId="0" applyFont="1" applyFill="1" applyBorder="1"/>
    <xf numFmtId="0" fontId="7" fillId="6" borderId="27" xfId="0" applyFont="1" applyFill="1" applyBorder="1"/>
    <xf numFmtId="168" fontId="34" fillId="2" borderId="0" xfId="0" applyNumberFormat="1" applyFont="1" applyFill="1" applyBorder="1"/>
    <xf numFmtId="0" fontId="7" fillId="2" borderId="0" xfId="0" applyFont="1" applyFill="1" applyAlignment="1">
      <alignment horizontal="left"/>
    </xf>
    <xf numFmtId="1" fontId="18" fillId="38" borderId="12" xfId="0" applyNumberFormat="1" applyFont="1" applyFill="1" applyBorder="1"/>
    <xf numFmtId="0" fontId="0" fillId="2" borderId="1" xfId="0" applyFill="1" applyBorder="1"/>
    <xf numFmtId="0" fontId="11" fillId="2" borderId="4" xfId="0" applyFont="1" applyFill="1" applyBorder="1"/>
    <xf numFmtId="10" fontId="7" fillId="2" borderId="14" xfId="0" applyNumberFormat="1" applyFont="1" applyFill="1" applyBorder="1"/>
    <xf numFmtId="0" fontId="17" fillId="2" borderId="14" xfId="0" applyFont="1" applyFill="1" applyBorder="1"/>
    <xf numFmtId="0" fontId="7" fillId="2" borderId="13" xfId="0" applyFont="1" applyFill="1" applyBorder="1"/>
    <xf numFmtId="0" fontId="0" fillId="2" borderId="13" xfId="0" applyFill="1" applyBorder="1"/>
    <xf numFmtId="0" fontId="2" fillId="2" borderId="0" xfId="0" applyFont="1" applyFill="1" applyAlignment="1">
      <alignment vertical="center"/>
    </xf>
    <xf numFmtId="0" fontId="0" fillId="2" borderId="0" xfId="0" applyFill="1" applyAlignment="1">
      <alignment vertical="center"/>
    </xf>
    <xf numFmtId="0" fontId="0" fillId="2" borderId="40" xfId="0" applyFill="1" applyBorder="1" applyAlignment="1">
      <alignment vertical="center" wrapText="1"/>
    </xf>
    <xf numFmtId="9" fontId="0" fillId="2" borderId="41" xfId="0" applyNumberFormat="1" applyFill="1" applyBorder="1" applyAlignment="1">
      <alignment vertical="center" wrapText="1"/>
    </xf>
    <xf numFmtId="0" fontId="0" fillId="2" borderId="41" xfId="0" applyFill="1" applyBorder="1" applyAlignment="1">
      <alignment vertical="center" wrapText="1"/>
    </xf>
    <xf numFmtId="0" fontId="0" fillId="2" borderId="42" xfId="0" applyFill="1" applyBorder="1" applyAlignment="1">
      <alignment vertical="center" wrapText="1"/>
    </xf>
    <xf numFmtId="9" fontId="0" fillId="2" borderId="43" xfId="0" applyNumberFormat="1" applyFill="1" applyBorder="1" applyAlignment="1">
      <alignment vertical="center" wrapText="1"/>
    </xf>
    <xf numFmtId="0" fontId="0" fillId="2" borderId="43" xfId="0" applyFill="1" applyBorder="1" applyAlignment="1">
      <alignment vertical="center" wrapText="1"/>
    </xf>
    <xf numFmtId="0" fontId="68" fillId="2" borderId="40" xfId="0" applyFont="1" applyFill="1" applyBorder="1" applyAlignment="1">
      <alignment vertical="center" wrapText="1"/>
    </xf>
    <xf numFmtId="0" fontId="68" fillId="2" borderId="41" xfId="0" applyFont="1" applyFill="1" applyBorder="1" applyAlignment="1">
      <alignment vertical="center" wrapText="1"/>
    </xf>
    <xf numFmtId="9" fontId="68" fillId="2" borderId="42" xfId="0" applyNumberFormat="1" applyFont="1" applyFill="1" applyBorder="1" applyAlignment="1">
      <alignment horizontal="center" vertical="center" wrapText="1"/>
    </xf>
    <xf numFmtId="0" fontId="68" fillId="2" borderId="43" xfId="0" applyFont="1" applyFill="1" applyBorder="1" applyAlignment="1">
      <alignment horizontal="right" vertical="center" wrapText="1"/>
    </xf>
    <xf numFmtId="0" fontId="69" fillId="2" borderId="0" xfId="0" applyFont="1" applyFill="1" applyAlignment="1">
      <alignment horizontal="left" vertical="center" indent="5"/>
    </xf>
    <xf numFmtId="0" fontId="0" fillId="2" borderId="44" xfId="0" applyFill="1" applyBorder="1" applyAlignment="1">
      <alignment vertical="center" wrapText="1"/>
    </xf>
    <xf numFmtId="9" fontId="0" fillId="2" borderId="45" xfId="0" applyNumberFormat="1" applyFill="1" applyBorder="1" applyAlignment="1">
      <alignment vertical="center" wrapText="1"/>
    </xf>
    <xf numFmtId="8" fontId="0" fillId="2" borderId="43" xfId="0" applyNumberFormat="1" applyFill="1" applyBorder="1" applyAlignment="1">
      <alignment vertical="center" wrapText="1"/>
    </xf>
    <xf numFmtId="10" fontId="0" fillId="2" borderId="45" xfId="0" applyNumberFormat="1" applyFill="1" applyBorder="1" applyAlignment="1">
      <alignment vertical="center" wrapText="1"/>
    </xf>
    <xf numFmtId="6" fontId="0" fillId="2" borderId="43" xfId="0" applyNumberFormat="1" applyFill="1" applyBorder="1" applyAlignment="1">
      <alignment vertical="center" wrapText="1"/>
    </xf>
    <xf numFmtId="0" fontId="71" fillId="2" borderId="0" xfId="0" applyFont="1" applyFill="1"/>
    <xf numFmtId="166" fontId="29" fillId="3" borderId="0" xfId="0" applyNumberFormat="1" applyFont="1" applyFill="1"/>
    <xf numFmtId="1" fontId="0" fillId="2" borderId="0" xfId="0" applyNumberFormat="1" applyFill="1"/>
    <xf numFmtId="165" fontId="29" fillId="3" borderId="0" xfId="0" applyNumberFormat="1" applyFont="1" applyFill="1"/>
    <xf numFmtId="165" fontId="29" fillId="3" borderId="7" xfId="0" applyNumberFormat="1" applyFont="1" applyFill="1" applyBorder="1"/>
    <xf numFmtId="165" fontId="7" fillId="2" borderId="3" xfId="0" applyNumberFormat="1" applyFont="1" applyFill="1" applyBorder="1"/>
    <xf numFmtId="0" fontId="7" fillId="2" borderId="2" xfId="0" applyFont="1" applyFill="1" applyBorder="1"/>
    <xf numFmtId="165" fontId="7" fillId="2" borderId="2" xfId="0" applyNumberFormat="1" applyFont="1" applyFill="1" applyBorder="1"/>
    <xf numFmtId="166" fontId="29" fillId="3" borderId="7" xfId="0" applyNumberFormat="1" applyFont="1" applyFill="1" applyBorder="1"/>
    <xf numFmtId="165" fontId="18" fillId="0" borderId="7" xfId="0" applyNumberFormat="1" applyFont="1" applyFill="1" applyBorder="1"/>
    <xf numFmtId="165" fontId="18" fillId="0" borderId="8" xfId="0" applyNumberFormat="1" applyFont="1" applyFill="1" applyBorder="1"/>
    <xf numFmtId="165" fontId="7" fillId="2" borderId="13" xfId="0" applyNumberFormat="1" applyFont="1" applyFill="1" applyBorder="1"/>
    <xf numFmtId="165" fontId="18" fillId="0" borderId="15" xfId="0" applyNumberFormat="1" applyFont="1" applyFill="1" applyBorder="1"/>
    <xf numFmtId="0" fontId="7" fillId="2" borderId="7" xfId="0" applyFont="1" applyFill="1" applyBorder="1" applyAlignment="1">
      <alignment horizontal="right" wrapText="1"/>
    </xf>
    <xf numFmtId="165" fontId="18" fillId="2" borderId="3" xfId="1" applyNumberFormat="1" applyFont="1" applyFill="1" applyBorder="1"/>
    <xf numFmtId="0" fontId="72" fillId="2" borderId="0" xfId="0" applyFont="1" applyFill="1"/>
    <xf numFmtId="165" fontId="29" fillId="2" borderId="0" xfId="0" applyNumberFormat="1" applyFont="1" applyFill="1" applyBorder="1"/>
    <xf numFmtId="165" fontId="29" fillId="3" borderId="0" xfId="0" applyNumberFormat="1" applyFont="1" applyFill="1" applyBorder="1"/>
    <xf numFmtId="165" fontId="29" fillId="3" borderId="5" xfId="0" applyNumberFormat="1" applyFont="1" applyFill="1" applyBorder="1"/>
    <xf numFmtId="167" fontId="7" fillId="2" borderId="0" xfId="0" applyNumberFormat="1" applyFont="1" applyFill="1" applyBorder="1"/>
    <xf numFmtId="0" fontId="7" fillId="2" borderId="15" xfId="0" applyFont="1" applyFill="1" applyBorder="1" applyAlignment="1">
      <alignment horizontal="right" wrapText="1"/>
    </xf>
    <xf numFmtId="0" fontId="17" fillId="2" borderId="0" xfId="0" applyFont="1" applyFill="1"/>
    <xf numFmtId="9" fontId="7" fillId="2" borderId="0" xfId="0" applyNumberFormat="1" applyFont="1" applyFill="1"/>
    <xf numFmtId="2" fontId="7" fillId="2" borderId="0" xfId="0" applyNumberFormat="1" applyFont="1" applyFill="1"/>
    <xf numFmtId="0" fontId="24" fillId="2" borderId="7" xfId="0" applyFont="1" applyFill="1" applyBorder="1"/>
    <xf numFmtId="9" fontId="7" fillId="2" borderId="5" xfId="0" applyNumberFormat="1" applyFont="1" applyFill="1" applyBorder="1"/>
    <xf numFmtId="10" fontId="7" fillId="2" borderId="0" xfId="1" applyNumberFormat="1" applyFont="1" applyFill="1"/>
    <xf numFmtId="168" fontId="29" fillId="3" borderId="0" xfId="0" applyNumberFormat="1" applyFont="1" applyFill="1" applyBorder="1"/>
    <xf numFmtId="164" fontId="7" fillId="2" borderId="0" xfId="0" applyNumberFormat="1" applyFont="1" applyFill="1"/>
    <xf numFmtId="1" fontId="9" fillId="2" borderId="0" xfId="0" applyNumberFormat="1" applyFont="1" applyFill="1"/>
    <xf numFmtId="1" fontId="9" fillId="2" borderId="5" xfId="0" applyNumberFormat="1" applyFont="1" applyFill="1" applyBorder="1"/>
    <xf numFmtId="2" fontId="73" fillId="2" borderId="11" xfId="0" applyNumberFormat="1" applyFont="1" applyFill="1" applyBorder="1"/>
    <xf numFmtId="2" fontId="73" fillId="2" borderId="9" xfId="0" applyNumberFormat="1" applyFont="1" applyFill="1" applyBorder="1"/>
    <xf numFmtId="2" fontId="73" fillId="2" borderId="10" xfId="0" applyNumberFormat="1" applyFont="1" applyFill="1" applyBorder="1"/>
    <xf numFmtId="165" fontId="73" fillId="2" borderId="0" xfId="0" applyNumberFormat="1" applyFont="1" applyFill="1"/>
    <xf numFmtId="165" fontId="73" fillId="2" borderId="5" xfId="0" applyNumberFormat="1" applyFont="1" applyFill="1" applyBorder="1"/>
    <xf numFmtId="165" fontId="29" fillId="2" borderId="5" xfId="0" applyNumberFormat="1" applyFont="1" applyFill="1" applyBorder="1"/>
    <xf numFmtId="0" fontId="6" fillId="2" borderId="11" xfId="0" applyFont="1" applyFill="1" applyBorder="1" applyAlignment="1">
      <alignment horizontal="left" indent="3"/>
    </xf>
    <xf numFmtId="0" fontId="6" fillId="2" borderId="4" xfId="0" applyFont="1" applyFill="1" applyBorder="1" applyAlignment="1">
      <alignment horizontal="right" indent="1"/>
    </xf>
    <xf numFmtId="1" fontId="7" fillId="2" borderId="6" xfId="0" applyNumberFormat="1" applyFont="1" applyFill="1" applyBorder="1"/>
    <xf numFmtId="1" fontId="60" fillId="2" borderId="4" xfId="0" applyNumberFormat="1" applyFont="1" applyFill="1" applyBorder="1"/>
    <xf numFmtId="0" fontId="61" fillId="2" borderId="4" xfId="0" applyFont="1" applyFill="1" applyBorder="1" applyAlignment="1">
      <alignment horizontal="right" indent="1"/>
    </xf>
    <xf numFmtId="165" fontId="60" fillId="2" borderId="4" xfId="0" applyNumberFormat="1" applyFont="1" applyFill="1" applyBorder="1"/>
    <xf numFmtId="0" fontId="60" fillId="2" borderId="4" xfId="0" applyFont="1" applyFill="1" applyBorder="1"/>
    <xf numFmtId="165" fontId="28" fillId="2" borderId="0" xfId="0" applyNumberFormat="1" applyFont="1" applyFill="1" applyBorder="1"/>
    <xf numFmtId="168" fontId="29" fillId="2" borderId="0" xfId="0" applyNumberFormat="1" applyFont="1" applyFill="1" applyBorder="1"/>
    <xf numFmtId="168" fontId="28" fillId="2" borderId="0" xfId="1" applyNumberFormat="1" applyFont="1" applyFill="1" applyBorder="1"/>
    <xf numFmtId="0" fontId="29" fillId="3" borderId="12" xfId="0" applyFont="1" applyFill="1" applyBorder="1" applyAlignment="1">
      <alignment horizontal="right"/>
    </xf>
    <xf numFmtId="168" fontId="29" fillId="3" borderId="0" xfId="1" applyNumberFormat="1" applyFont="1" applyFill="1" applyBorder="1"/>
    <xf numFmtId="165" fontId="73" fillId="2" borderId="0" xfId="0" applyNumberFormat="1" applyFont="1" applyFill="1" applyBorder="1"/>
    <xf numFmtId="0" fontId="73" fillId="2" borderId="0" xfId="0" applyFont="1" applyFill="1" applyBorder="1" applyAlignment="1">
      <alignment horizontal="left" indent="1"/>
    </xf>
    <xf numFmtId="1" fontId="73" fillId="2" borderId="0" xfId="0" applyNumberFormat="1" applyFont="1" applyFill="1" applyBorder="1"/>
    <xf numFmtId="1" fontId="73" fillId="2" borderId="5" xfId="0" applyNumberFormat="1" applyFont="1" applyFill="1" applyBorder="1"/>
    <xf numFmtId="1" fontId="9" fillId="2" borderId="7" xfId="0" applyNumberFormat="1" applyFont="1" applyFill="1" applyBorder="1"/>
    <xf numFmtId="1" fontId="9" fillId="2" borderId="8" xfId="0" applyNumberFormat="1" applyFont="1" applyFill="1" applyBorder="1"/>
    <xf numFmtId="1" fontId="9" fillId="2" borderId="4" xfId="0" applyNumberFormat="1" applyFont="1" applyFill="1" applyBorder="1"/>
    <xf numFmtId="1" fontId="9" fillId="2" borderId="0" xfId="0" applyNumberFormat="1" applyFont="1" applyFill="1" applyBorder="1"/>
    <xf numFmtId="0" fontId="17" fillId="2" borderId="0" xfId="0" applyFont="1" applyFill="1" applyBorder="1" applyAlignment="1">
      <alignment horizontal="left" indent="2"/>
    </xf>
    <xf numFmtId="0" fontId="7" fillId="39" borderId="0" xfId="0" applyFont="1" applyFill="1" applyBorder="1"/>
    <xf numFmtId="0" fontId="0" fillId="39" borderId="0" xfId="0" applyFill="1" applyBorder="1"/>
    <xf numFmtId="165" fontId="6" fillId="39" borderId="0" xfId="0" applyNumberFormat="1" applyFont="1" applyFill="1" applyBorder="1"/>
    <xf numFmtId="165" fontId="44" fillId="39" borderId="5" xfId="0" applyNumberFormat="1" applyFont="1" applyFill="1" applyBorder="1"/>
    <xf numFmtId="165" fontId="6" fillId="39" borderId="14" xfId="0" applyNumberFormat="1" applyFont="1" applyFill="1" applyBorder="1"/>
    <xf numFmtId="165" fontId="6" fillId="39" borderId="5" xfId="0" applyNumberFormat="1" applyFont="1" applyFill="1" applyBorder="1"/>
    <xf numFmtId="1" fontId="9" fillId="2" borderId="14" xfId="0" applyNumberFormat="1" applyFont="1" applyFill="1" applyBorder="1"/>
    <xf numFmtId="175" fontId="74" fillId="2" borderId="14" xfId="4" applyNumberFormat="1" applyFont="1" applyFill="1" applyBorder="1"/>
    <xf numFmtId="175" fontId="74" fillId="2" borderId="4" xfId="4" applyNumberFormat="1" applyFont="1" applyFill="1" applyBorder="1"/>
    <xf numFmtId="175" fontId="74" fillId="2" borderId="5" xfId="4" applyNumberFormat="1" applyFont="1" applyFill="1" applyBorder="1"/>
    <xf numFmtId="175" fontId="74" fillId="2" borderId="0" xfId="4" applyNumberFormat="1" applyFont="1" applyFill="1" applyBorder="1"/>
    <xf numFmtId="175" fontId="9" fillId="2" borderId="15" xfId="4" applyNumberFormat="1" applyFont="1" applyFill="1" applyBorder="1"/>
    <xf numFmtId="175" fontId="9" fillId="2" borderId="6" xfId="4" applyNumberFormat="1" applyFont="1" applyFill="1" applyBorder="1"/>
    <xf numFmtId="175" fontId="9" fillId="2" borderId="8" xfId="4" applyNumberFormat="1" applyFont="1" applyFill="1" applyBorder="1"/>
    <xf numFmtId="175" fontId="9" fillId="2" borderId="0" xfId="4" applyNumberFormat="1" applyFont="1" applyFill="1" applyBorder="1"/>
    <xf numFmtId="175" fontId="9" fillId="2" borderId="7" xfId="4" applyNumberFormat="1" applyFont="1" applyFill="1" applyBorder="1"/>
    <xf numFmtId="4" fontId="7" fillId="2" borderId="0" xfId="0" applyNumberFormat="1" applyFont="1" applyFill="1" applyBorder="1"/>
    <xf numFmtId="4" fontId="7" fillId="2" borderId="5" xfId="0" applyNumberFormat="1" applyFont="1" applyFill="1" applyBorder="1"/>
    <xf numFmtId="3" fontId="7" fillId="2" borderId="4" xfId="0" applyNumberFormat="1" applyFont="1" applyFill="1" applyBorder="1"/>
    <xf numFmtId="175" fontId="9" fillId="2" borderId="5" xfId="4" applyNumberFormat="1" applyFont="1" applyFill="1" applyBorder="1"/>
    <xf numFmtId="1" fontId="74" fillId="2" borderId="0" xfId="0" applyNumberFormat="1" applyFont="1" applyFill="1" applyBorder="1"/>
    <xf numFmtId="1" fontId="74" fillId="2" borderId="5" xfId="0" applyNumberFormat="1" applyFont="1" applyFill="1" applyBorder="1"/>
    <xf numFmtId="168" fontId="29" fillId="2" borderId="0" xfId="1" applyNumberFormat="1" applyFont="1" applyFill="1" applyBorder="1"/>
    <xf numFmtId="176" fontId="29" fillId="3" borderId="0" xfId="1" applyNumberFormat="1" applyFont="1" applyFill="1" applyBorder="1"/>
    <xf numFmtId="175" fontId="9" fillId="2" borderId="14" xfId="4" applyNumberFormat="1" applyFont="1" applyFill="1" applyBorder="1"/>
    <xf numFmtId="175" fontId="9" fillId="2" borderId="4" xfId="4" applyNumberFormat="1" applyFont="1" applyFill="1" applyBorder="1"/>
    <xf numFmtId="165" fontId="6" fillId="6" borderId="36" xfId="0" applyNumberFormat="1" applyFont="1" applyFill="1" applyBorder="1" applyAlignment="1">
      <alignment horizontal="right"/>
    </xf>
    <xf numFmtId="165" fontId="6" fillId="2" borderId="36" xfId="0" applyNumberFormat="1" applyFont="1" applyFill="1" applyBorder="1" applyAlignment="1">
      <alignment horizontal="right"/>
    </xf>
    <xf numFmtId="165" fontId="6" fillId="39" borderId="36" xfId="0" applyNumberFormat="1" applyFont="1" applyFill="1" applyBorder="1" applyAlignment="1">
      <alignment horizontal="right"/>
    </xf>
    <xf numFmtId="1" fontId="6" fillId="2" borderId="46" xfId="0" applyNumberFormat="1" applyFont="1" applyFill="1" applyBorder="1"/>
    <xf numFmtId="165" fontId="6" fillId="40" borderId="37" xfId="0" applyNumberFormat="1" applyFont="1" applyFill="1" applyBorder="1" applyAlignment="1">
      <alignment horizontal="right"/>
    </xf>
    <xf numFmtId="1" fontId="6" fillId="2" borderId="29" xfId="0" applyNumberFormat="1" applyFont="1" applyFill="1" applyBorder="1"/>
    <xf numFmtId="0" fontId="7" fillId="40" borderId="28" xfId="0" applyFont="1" applyFill="1" applyBorder="1"/>
    <xf numFmtId="1" fontId="6" fillId="40" borderId="47" xfId="0" applyNumberFormat="1" applyFont="1" applyFill="1" applyBorder="1" applyAlignment="1">
      <alignment horizontal="right"/>
    </xf>
    <xf numFmtId="1" fontId="6" fillId="2" borderId="0" xfId="0" applyNumberFormat="1" applyFont="1" applyFill="1" applyBorder="1" applyAlignment="1">
      <alignment horizontal="right"/>
    </xf>
    <xf numFmtId="165" fontId="6" fillId="6" borderId="48" xfId="0" applyNumberFormat="1" applyFont="1" applyFill="1" applyBorder="1" applyAlignment="1">
      <alignment horizontal="right"/>
    </xf>
    <xf numFmtId="165" fontId="6" fillId="2" borderId="48" xfId="0" applyNumberFormat="1" applyFont="1" applyFill="1" applyBorder="1" applyAlignment="1">
      <alignment horizontal="right"/>
    </xf>
    <xf numFmtId="165" fontId="6" fillId="39" borderId="48" xfId="0" applyNumberFormat="1" applyFont="1" applyFill="1" applyBorder="1" applyAlignment="1">
      <alignment horizontal="right"/>
    </xf>
    <xf numFmtId="1" fontId="6" fillId="40" borderId="49" xfId="0" applyNumberFormat="1" applyFont="1" applyFill="1" applyBorder="1" applyAlignment="1">
      <alignment horizontal="right"/>
    </xf>
    <xf numFmtId="165" fontId="6" fillId="40" borderId="50" xfId="0" applyNumberFormat="1" applyFont="1" applyFill="1" applyBorder="1" applyAlignment="1">
      <alignment horizontal="right"/>
    </xf>
    <xf numFmtId="0" fontId="34" fillId="2" borderId="0" xfId="0" applyFont="1" applyFill="1" applyBorder="1"/>
    <xf numFmtId="0" fontId="7" fillId="2" borderId="12" xfId="0" applyFont="1" applyFill="1" applyBorder="1"/>
    <xf numFmtId="165" fontId="7" fillId="2" borderId="12" xfId="0" applyNumberFormat="1" applyFont="1" applyFill="1" applyBorder="1"/>
    <xf numFmtId="2" fontId="7" fillId="2" borderId="12" xfId="0" applyNumberFormat="1" applyFont="1" applyFill="1" applyBorder="1"/>
    <xf numFmtId="171" fontId="2" fillId="2" borderId="0" xfId="1" applyNumberFormat="1" applyFont="1" applyFill="1" applyBorder="1"/>
    <xf numFmtId="1" fontId="2" fillId="2" borderId="0" xfId="0" applyNumberFormat="1" applyFont="1" applyFill="1" applyBorder="1"/>
    <xf numFmtId="0" fontId="40" fillId="2" borderId="0" xfId="0" applyFont="1" applyFill="1" applyBorder="1" applyAlignment="1">
      <alignment horizontal="left" vertical="top" wrapText="1"/>
    </xf>
    <xf numFmtId="0" fontId="40" fillId="2" borderId="0" xfId="0" applyFont="1" applyFill="1" applyAlignment="1">
      <alignment horizontal="left" vertical="top" wrapText="1"/>
    </xf>
    <xf numFmtId="165" fontId="2" fillId="2" borderId="11" xfId="0" applyNumberFormat="1" applyFont="1" applyFill="1" applyBorder="1" applyAlignment="1">
      <alignment horizontal="center"/>
    </xf>
    <xf numFmtId="165" fontId="2" fillId="2" borderId="9" xfId="0" applyNumberFormat="1" applyFont="1" applyFill="1" applyBorder="1" applyAlignment="1">
      <alignment horizontal="center"/>
    </xf>
    <xf numFmtId="165" fontId="2" fillId="2" borderId="10" xfId="0" applyNumberFormat="1" applyFont="1" applyFill="1" applyBorder="1" applyAlignment="1">
      <alignment horizontal="center"/>
    </xf>
    <xf numFmtId="165" fontId="10" fillId="2" borderId="11" xfId="1" applyNumberFormat="1" applyFont="1" applyFill="1" applyBorder="1" applyAlignment="1">
      <alignment horizontal="center"/>
    </xf>
    <xf numFmtId="165" fontId="10" fillId="2" borderId="9" xfId="1" applyNumberFormat="1" applyFont="1" applyFill="1" applyBorder="1" applyAlignment="1">
      <alignment horizontal="center"/>
    </xf>
    <xf numFmtId="165" fontId="10" fillId="2" borderId="10" xfId="1" applyNumberFormat="1" applyFont="1" applyFill="1" applyBorder="1" applyAlignment="1">
      <alignment horizontal="center"/>
    </xf>
    <xf numFmtId="0" fontId="6" fillId="2" borderId="11" xfId="0" applyFont="1" applyFill="1" applyBorder="1" applyAlignment="1">
      <alignment horizontal="center"/>
    </xf>
    <xf numFmtId="0" fontId="6" fillId="2" borderId="9" xfId="0" applyFont="1" applyFill="1" applyBorder="1" applyAlignment="1">
      <alignment horizontal="center"/>
    </xf>
    <xf numFmtId="0" fontId="6" fillId="2" borderId="10" xfId="0" applyFont="1" applyFill="1" applyBorder="1" applyAlignment="1">
      <alignment horizontal="center"/>
    </xf>
    <xf numFmtId="0" fontId="75" fillId="3" borderId="0" xfId="0" applyFont="1" applyFill="1" applyAlignment="1">
      <alignment horizontal="center"/>
    </xf>
    <xf numFmtId="0" fontId="0" fillId="0" borderId="13" xfId="0" applyBorder="1" applyAlignment="1">
      <alignment horizontal="center" vertical="center"/>
    </xf>
    <xf numFmtId="0" fontId="0" fillId="0" borderId="15" xfId="0" applyBorder="1" applyAlignment="1">
      <alignment horizontal="center" vertical="center"/>
    </xf>
    <xf numFmtId="4" fontId="0" fillId="0" borderId="13" xfId="0" applyNumberFormat="1" applyBorder="1" applyAlignment="1">
      <alignment horizontal="center" vertical="center"/>
    </xf>
    <xf numFmtId="0" fontId="2" fillId="0" borderId="12" xfId="0" applyFont="1" applyBorder="1" applyAlignment="1">
      <alignment horizontal="center"/>
    </xf>
  </cellXfs>
  <cellStyles count="55">
    <cellStyle name="20% - Accent1" xfId="28" builtinId="30" customBuiltin="1"/>
    <cellStyle name="20% - Accent2" xfId="32" builtinId="34" customBuiltin="1"/>
    <cellStyle name="20% - Accent3" xfId="36" builtinId="38" customBuiltin="1"/>
    <cellStyle name="20% - Accent4" xfId="40" builtinId="42" customBuiltin="1"/>
    <cellStyle name="20% - Accent5" xfId="44" builtinId="46" customBuiltin="1"/>
    <cellStyle name="20% - Accent6" xfId="48" builtinId="50" customBuiltin="1"/>
    <cellStyle name="40% - Accent1" xfId="29" builtinId="31" customBuiltin="1"/>
    <cellStyle name="40% - Accent2" xfId="33" builtinId="35" customBuiltin="1"/>
    <cellStyle name="40% - Accent3" xfId="37" builtinId="39" customBuiltin="1"/>
    <cellStyle name="40% - Accent4" xfId="41" builtinId="43" customBuiltin="1"/>
    <cellStyle name="40% - Accent5" xfId="45" builtinId="47" customBuiltin="1"/>
    <cellStyle name="40% - Accent6" xfId="49" builtinId="51" customBuiltin="1"/>
    <cellStyle name="60% - Accent1" xfId="30" builtinId="32" customBuiltin="1"/>
    <cellStyle name="60% - Accent2" xfId="34" builtinId="36" customBuiltin="1"/>
    <cellStyle name="60% - Accent3" xfId="38" builtinId="40" customBuiltin="1"/>
    <cellStyle name="60% - Accent4" xfId="42" builtinId="44" customBuiltin="1"/>
    <cellStyle name="60% - Accent5" xfId="46" builtinId="48" customBuiltin="1"/>
    <cellStyle name="60% - Accent6" xfId="50" builtinId="52" customBuiltin="1"/>
    <cellStyle name="Accent1" xfId="27" builtinId="29" customBuiltin="1"/>
    <cellStyle name="Accent2" xfId="31" builtinId="33" customBuiltin="1"/>
    <cellStyle name="Accent3" xfId="35" builtinId="37" customBuiltin="1"/>
    <cellStyle name="Accent4" xfId="39" builtinId="41" customBuiltin="1"/>
    <cellStyle name="Accent5" xfId="43" builtinId="45" customBuiltin="1"/>
    <cellStyle name="Accent6" xfId="47" builtinId="49" customBuiltin="1"/>
    <cellStyle name="Bad" xfId="17" builtinId="27" customBuiltin="1"/>
    <cellStyle name="Calculation" xfId="21" builtinId="22" customBuiltin="1"/>
    <cellStyle name="Check Cell" xfId="23" builtinId="23" customBuiltin="1"/>
    <cellStyle name="Comma" xfId="4" builtinId="3"/>
    <cellStyle name="Comma 2" xfId="5"/>
    <cellStyle name="Comma 3" xfId="6"/>
    <cellStyle name="Explanatory Text" xfId="25" builtinId="53" customBuiltin="1"/>
    <cellStyle name="Good" xfId="16" builtinId="26" customBuiltin="1"/>
    <cellStyle name="Heading" xfId="7"/>
    <cellStyle name="Heading 1" xfId="12" builtinId="16" customBuiltin="1"/>
    <cellStyle name="Heading 2" xfId="13" builtinId="17" customBuiltin="1"/>
    <cellStyle name="Heading 3" xfId="14" builtinId="18" customBuiltin="1"/>
    <cellStyle name="Heading 4" xfId="15" builtinId="19" customBuiltin="1"/>
    <cellStyle name="Heading1" xfId="8"/>
    <cellStyle name="Hyperlink" xfId="2" builtinId="8"/>
    <cellStyle name="Hyperlink 2" xfId="52"/>
    <cellStyle name="Input" xfId="19" builtinId="20" customBuiltin="1"/>
    <cellStyle name="Linked Cell" xfId="22" builtinId="24" customBuiltin="1"/>
    <cellStyle name="Neutral" xfId="18" builtinId="28" customBuiltin="1"/>
    <cellStyle name="Normal" xfId="0" builtinId="0"/>
    <cellStyle name="Normal 2" xfId="3"/>
    <cellStyle name="Normal 2 2" xfId="53"/>
    <cellStyle name="Normal 3" xfId="51"/>
    <cellStyle name="Note 2" xfId="54"/>
    <cellStyle name="Output" xfId="20" builtinId="21" customBuiltin="1"/>
    <cellStyle name="Percent" xfId="1" builtinId="5"/>
    <cellStyle name="Result" xfId="9"/>
    <cellStyle name="Result2" xfId="10"/>
    <cellStyle name="Title" xfId="11" builtinId="15" customBuiltin="1"/>
    <cellStyle name="Total" xfId="26" builtinId="25" customBuiltin="1"/>
    <cellStyle name="Warning Text" xfId="24" builtinId="11" customBuiltin="1"/>
  </cellStyles>
  <dxfs count="12">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Net tax effect* (cumulative)</a:t>
            </a:r>
          </a:p>
        </c:rich>
      </c:tx>
      <c:layout/>
      <c:overlay val="0"/>
    </c:title>
    <c:autoTitleDeleted val="0"/>
    <c:plotArea>
      <c:layout>
        <c:manualLayout>
          <c:layoutTarget val="inner"/>
          <c:xMode val="edge"/>
          <c:yMode val="edge"/>
          <c:x val="0.16528159883629004"/>
          <c:y val="0.15455582475267515"/>
          <c:w val="0.83464804098282896"/>
          <c:h val="0.46258294636247393"/>
        </c:manualLayout>
      </c:layout>
      <c:lineChart>
        <c:grouping val="standard"/>
        <c:varyColors val="0"/>
        <c:ser>
          <c:idx val="0"/>
          <c:order val="0"/>
          <c:tx>
            <c:strRef>
              <c:f>'3.Summary'!$B$12</c:f>
              <c:strCache>
                <c:ptCount val="1"/>
                <c:pt idx="0">
                  <c:v>Scenario B</c:v>
                </c:pt>
              </c:strCache>
            </c:strRef>
          </c:tx>
          <c:marker>
            <c:symbol val="none"/>
          </c:marker>
          <c:cat>
            <c:strRef>
              <c:f>'3.Summary'!$C$11:$K$11</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'3.Summary'!$C$12:$K$12</c:f>
              <c:numCache>
                <c:formatCode>0.0</c:formatCode>
                <c:ptCount val="9"/>
                <c:pt idx="0">
                  <c:v>-2.1627999999958618</c:v>
                </c:pt>
                <c:pt idx="1">
                  <c:v>-2.6657999999848272</c:v>
                </c:pt>
                <c:pt idx="2">
                  <c:v>-2.7811299999878685</c:v>
                </c:pt>
                <c:pt idx="3">
                  <c:v>-2.6906299999800609</c:v>
                </c:pt>
                <c:pt idx="4">
                  <c:v>-2.5520299999699461</c:v>
                </c:pt>
                <c:pt idx="5">
                  <c:v>-3.6721299999598784</c:v>
                </c:pt>
                <c:pt idx="6">
                  <c:v>-1.8711299999671667</c:v>
                </c:pt>
                <c:pt idx="7">
                  <c:v>-0.23402999994337392</c:v>
                </c:pt>
                <c:pt idx="8">
                  <c:v>1.1451700000475853</c:v>
                </c:pt>
              </c:numCache>
            </c:numRef>
          </c:val>
          <c:smooth val="0"/>
        </c:ser>
        <c:ser>
          <c:idx val="1"/>
          <c:order val="1"/>
          <c:tx>
            <c:strRef>
              <c:f>'3.Summary'!$B$13</c:f>
              <c:strCache>
                <c:ptCount val="1"/>
                <c:pt idx="0">
                  <c:v>Scenario C</c:v>
                </c:pt>
              </c:strCache>
            </c:strRef>
          </c:tx>
          <c:marker>
            <c:symbol val="none"/>
          </c:marker>
          <c:cat>
            <c:strRef>
              <c:f>'3.Summary'!$C$11:$K$11</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'3.Summary'!$C$13:$K$13</c:f>
              <c:numCache>
                <c:formatCode>0.0</c:formatCode>
                <c:ptCount val="9"/>
                <c:pt idx="0">
                  <c:v>7.3399999985461761E-2</c:v>
                </c:pt>
                <c:pt idx="1">
                  <c:v>2.7499999986744683E-2</c:v>
                </c:pt>
                <c:pt idx="2">
                  <c:v>0.33315999997306278</c:v>
                </c:pt>
                <c:pt idx="3">
                  <c:v>0.85685999998734985</c:v>
                </c:pt>
                <c:pt idx="4">
                  <c:v>1.4260599999912529</c:v>
                </c:pt>
                <c:pt idx="5">
                  <c:v>-0.24974000000148067</c:v>
                </c:pt>
                <c:pt idx="6">
                  <c:v>0.29665999999909332</c:v>
                </c:pt>
                <c:pt idx="7">
                  <c:v>0.97586000001263074</c:v>
                </c:pt>
                <c:pt idx="8">
                  <c:v>1.6771600000110425</c:v>
                </c:pt>
              </c:numCache>
            </c:numRef>
          </c:val>
          <c:smooth val="0"/>
        </c:ser>
        <c:ser>
          <c:idx val="2"/>
          <c:order val="2"/>
          <c:tx>
            <c:strRef>
              <c:f>'3.Summary'!$B$14</c:f>
              <c:strCache>
                <c:ptCount val="1"/>
                <c:pt idx="0">
                  <c:v>Scenario D</c:v>
                </c:pt>
              </c:strCache>
            </c:strRef>
          </c:tx>
          <c:marker>
            <c:symbol val="none"/>
          </c:marker>
          <c:cat>
            <c:strRef>
              <c:f>'3.Summary'!$C$11:$K$11</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'3.Summary'!$C$14:$K$14</c:f>
              <c:numCache>
                <c:formatCode>0.0</c:formatCode>
                <c:ptCount val="9"/>
                <c:pt idx="0">
                  <c:v>0.36820000000201958</c:v>
                </c:pt>
                <c:pt idx="1">
                  <c:v>2.4866000000047137</c:v>
                </c:pt>
                <c:pt idx="2">
                  <c:v>4.6748599999898488</c:v>
                </c:pt>
                <c:pt idx="3">
                  <c:v>7.2746599999807415</c:v>
                </c:pt>
                <c:pt idx="4">
                  <c:v>9.5668599999676189</c:v>
                </c:pt>
                <c:pt idx="5">
                  <c:v>11.144659999960652</c:v>
                </c:pt>
                <c:pt idx="6">
                  <c:v>12.424959999956684</c:v>
                </c:pt>
                <c:pt idx="7">
                  <c:v>14.012959999976999</c:v>
                </c:pt>
                <c:pt idx="8">
                  <c:v>15.597259999980537</c:v>
                </c:pt>
              </c:numCache>
            </c:numRef>
          </c:val>
          <c:smooth val="0"/>
        </c:ser>
        <c:ser>
          <c:idx val="3"/>
          <c:order val="3"/>
          <c:tx>
            <c:strRef>
              <c:f>'3.Summary'!$B$15</c:f>
              <c:strCache>
                <c:ptCount val="1"/>
                <c:pt idx="0">
                  <c:v>Scenario E</c:v>
                </c:pt>
              </c:strCache>
            </c:strRef>
          </c:tx>
          <c:marker>
            <c:symbol val="none"/>
          </c:marker>
          <c:cat>
            <c:strRef>
              <c:f>'3.Summary'!$C$11:$K$11</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'3.Summary'!$C$15:$K$15</c:f>
              <c:numCache>
                <c:formatCode>0</c:formatCode>
                <c:ptCount val="9"/>
                <c:pt idx="0">
                  <c:v>-6.8420000000027983</c:v>
                </c:pt>
                <c:pt idx="1">
                  <c:v>-11.29479999998901</c:v>
                </c:pt>
                <c:pt idx="2">
                  <c:v>-14.98862999999443</c:v>
                </c:pt>
                <c:pt idx="3">
                  <c:v>-18.249129999980966</c:v>
                </c:pt>
                <c:pt idx="4">
                  <c:v>-21.37962999999317</c:v>
                </c:pt>
                <c:pt idx="5">
                  <c:v>-25.22683000000805</c:v>
                </c:pt>
                <c:pt idx="6">
                  <c:v>-26.913430000019815</c:v>
                </c:pt>
                <c:pt idx="7">
                  <c:v>-28.542529999989824</c:v>
                </c:pt>
                <c:pt idx="8">
                  <c:v>-30.060529999995708</c:v>
                </c:pt>
              </c:numCache>
            </c:numRef>
          </c:val>
          <c:smooth val="0"/>
        </c:ser>
        <c:dLbls>
          <c:showLegendKey val="0"/>
          <c:showVal val="0"/>
          <c:showCatName val="0"/>
          <c:showSerName val="0"/>
          <c:showPercent val="0"/>
          <c:showBubbleSize val="0"/>
        </c:dLbls>
        <c:marker val="1"/>
        <c:smooth val="0"/>
        <c:axId val="321773568"/>
        <c:axId val="321775104"/>
      </c:lineChart>
      <c:catAx>
        <c:axId val="321773568"/>
        <c:scaling>
          <c:orientation val="minMax"/>
        </c:scaling>
        <c:delete val="0"/>
        <c:axPos val="b"/>
        <c:majorTickMark val="none"/>
        <c:minorTickMark val="none"/>
        <c:tickLblPos val="nextTo"/>
        <c:crossAx val="321775104"/>
        <c:crosses val="autoZero"/>
        <c:auto val="1"/>
        <c:lblAlgn val="ctr"/>
        <c:lblOffset val="100"/>
        <c:noMultiLvlLbl val="0"/>
      </c:catAx>
      <c:valAx>
        <c:axId val="321775104"/>
        <c:scaling>
          <c:orientation val="minMax"/>
        </c:scaling>
        <c:delete val="0"/>
        <c:axPos val="l"/>
        <c:majorGridlines/>
        <c:title>
          <c:tx>
            <c:rich>
              <a:bodyPr/>
              <a:lstStyle/>
              <a:p>
                <a:pPr>
                  <a:defRPr/>
                </a:pPr>
                <a:r>
                  <a:rPr lang="en-AU"/>
                  <a:t>$million</a:t>
                </a:r>
              </a:p>
            </c:rich>
          </c:tx>
          <c:layout/>
          <c:overlay val="0"/>
        </c:title>
        <c:numFmt formatCode="0.0" sourceLinked="1"/>
        <c:majorTickMark val="none"/>
        <c:minorTickMark val="none"/>
        <c:tickLblPos val="nextTo"/>
        <c:crossAx val="32177356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NSW GSP effect, annual</a:t>
            </a:r>
          </a:p>
        </c:rich>
      </c:tx>
      <c:layout/>
      <c:overlay val="0"/>
    </c:title>
    <c:autoTitleDeleted val="0"/>
    <c:plotArea>
      <c:layout/>
      <c:barChart>
        <c:barDir val="col"/>
        <c:grouping val="clustered"/>
        <c:varyColors val="0"/>
        <c:ser>
          <c:idx val="0"/>
          <c:order val="0"/>
          <c:invertIfNegative val="0"/>
          <c:cat>
            <c:strRef>
              <c:f>'5.ScenarioB'!$P$47:$X$47</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'5.ScenarioB'!$P$101:$X$101</c:f>
              <c:numCache>
                <c:formatCode>0</c:formatCode>
                <c:ptCount val="9"/>
                <c:pt idx="0">
                  <c:v>38.36026204796508</c:v>
                </c:pt>
                <c:pt idx="1">
                  <c:v>-14.098573600291274</c:v>
                </c:pt>
                <c:pt idx="2">
                  <c:v>-9.297317954886239</c:v>
                </c:pt>
                <c:pt idx="3">
                  <c:v>-6.1536701947334222</c:v>
                </c:pt>
                <c:pt idx="4">
                  <c:v>-4.8769324923632666</c:v>
                </c:pt>
                <c:pt idx="5">
                  <c:v>-34.164025580743328</c:v>
                </c:pt>
                <c:pt idx="6">
                  <c:v>10.312153763719834</c:v>
                </c:pt>
                <c:pt idx="7">
                  <c:v>5.8243930316530168</c:v>
                </c:pt>
                <c:pt idx="8">
                  <c:v>3.26841251750011</c:v>
                </c:pt>
              </c:numCache>
            </c:numRef>
          </c:val>
        </c:ser>
        <c:dLbls>
          <c:showLegendKey val="0"/>
          <c:showVal val="0"/>
          <c:showCatName val="0"/>
          <c:showSerName val="0"/>
          <c:showPercent val="0"/>
          <c:showBubbleSize val="0"/>
        </c:dLbls>
        <c:gapWidth val="150"/>
        <c:axId val="324489984"/>
        <c:axId val="324491520"/>
      </c:barChart>
      <c:catAx>
        <c:axId val="324489984"/>
        <c:scaling>
          <c:orientation val="minMax"/>
        </c:scaling>
        <c:delete val="0"/>
        <c:axPos val="b"/>
        <c:majorTickMark val="none"/>
        <c:minorTickMark val="none"/>
        <c:tickLblPos val="low"/>
        <c:crossAx val="324491520"/>
        <c:crosses val="autoZero"/>
        <c:auto val="1"/>
        <c:lblAlgn val="ctr"/>
        <c:lblOffset val="100"/>
        <c:noMultiLvlLbl val="0"/>
      </c:catAx>
      <c:valAx>
        <c:axId val="324491520"/>
        <c:scaling>
          <c:orientation val="minMax"/>
        </c:scaling>
        <c:delete val="0"/>
        <c:axPos val="l"/>
        <c:majorGridlines/>
        <c:title>
          <c:tx>
            <c:rich>
              <a:bodyPr/>
              <a:lstStyle/>
              <a:p>
                <a:pPr>
                  <a:defRPr/>
                </a:pPr>
                <a:r>
                  <a:rPr lang="en-US"/>
                  <a:t>$ million</a:t>
                </a:r>
              </a:p>
            </c:rich>
          </c:tx>
          <c:layout/>
          <c:overlay val="0"/>
        </c:title>
        <c:numFmt formatCode="0" sourceLinked="1"/>
        <c:majorTickMark val="none"/>
        <c:minorTickMark val="none"/>
        <c:tickLblPos val="nextTo"/>
        <c:crossAx val="324489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Greyhound funding, annual</a:t>
            </a:r>
          </a:p>
        </c:rich>
      </c:tx>
      <c:layout/>
      <c:overlay val="0"/>
    </c:title>
    <c:autoTitleDeleted val="0"/>
    <c:plotArea>
      <c:layout/>
      <c:barChart>
        <c:barDir val="col"/>
        <c:grouping val="clustered"/>
        <c:varyColors val="0"/>
        <c:ser>
          <c:idx val="0"/>
          <c:order val="0"/>
          <c:invertIfNegative val="0"/>
          <c:cat>
            <c:strRef>
              <c:f>'5.ScenarioB'!$P$12:$X$12</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'5.ScenarioB'!$P$14:$X$14</c:f>
              <c:numCache>
                <c:formatCode>0.0</c:formatCode>
                <c:ptCount val="9"/>
                <c:pt idx="0">
                  <c:v>30.206846376958822</c:v>
                </c:pt>
                <c:pt idx="1">
                  <c:v>30.510223000366409</c:v>
                </c:pt>
                <c:pt idx="2">
                  <c:v>30.849754428635976</c:v>
                </c:pt>
                <c:pt idx="3">
                  <c:v>31.176281993624087</c:v>
                </c:pt>
                <c:pt idx="4">
                  <c:v>31.376315424087352</c:v>
                </c:pt>
                <c:pt idx="5">
                  <c:v>15.791218968469543</c:v>
                </c:pt>
                <c:pt idx="6">
                  <c:v>15.915030435556936</c:v>
                </c:pt>
                <c:pt idx="7">
                  <c:v>16.039438682865836</c:v>
                </c:pt>
                <c:pt idx="8">
                  <c:v>16.167269046390196</c:v>
                </c:pt>
              </c:numCache>
            </c:numRef>
          </c:val>
        </c:ser>
        <c:dLbls>
          <c:showLegendKey val="0"/>
          <c:showVal val="0"/>
          <c:showCatName val="0"/>
          <c:showSerName val="0"/>
          <c:showPercent val="0"/>
          <c:showBubbleSize val="0"/>
        </c:dLbls>
        <c:gapWidth val="150"/>
        <c:axId val="324520192"/>
        <c:axId val="324530176"/>
      </c:barChart>
      <c:catAx>
        <c:axId val="324520192"/>
        <c:scaling>
          <c:orientation val="minMax"/>
        </c:scaling>
        <c:delete val="0"/>
        <c:axPos val="b"/>
        <c:majorTickMark val="none"/>
        <c:minorTickMark val="none"/>
        <c:tickLblPos val="low"/>
        <c:crossAx val="324530176"/>
        <c:crosses val="autoZero"/>
        <c:auto val="1"/>
        <c:lblAlgn val="ctr"/>
        <c:lblOffset val="100"/>
        <c:noMultiLvlLbl val="0"/>
      </c:catAx>
      <c:valAx>
        <c:axId val="324530176"/>
        <c:scaling>
          <c:orientation val="minMax"/>
        </c:scaling>
        <c:delete val="0"/>
        <c:axPos val="l"/>
        <c:majorGridlines/>
        <c:title>
          <c:tx>
            <c:rich>
              <a:bodyPr/>
              <a:lstStyle/>
              <a:p>
                <a:pPr>
                  <a:defRPr/>
                </a:pPr>
                <a:r>
                  <a:rPr lang="en-AU"/>
                  <a:t>$ million</a:t>
                </a:r>
              </a:p>
            </c:rich>
          </c:tx>
          <c:layout/>
          <c:overlay val="0"/>
        </c:title>
        <c:numFmt formatCode="0" sourceLinked="0"/>
        <c:majorTickMark val="none"/>
        <c:minorTickMark val="none"/>
        <c:tickLblPos val="nextTo"/>
        <c:crossAx val="324520192"/>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Grehound funding, cumulative</a:t>
            </a:r>
          </a:p>
        </c:rich>
      </c:tx>
      <c:layout/>
      <c:overlay val="0"/>
    </c:title>
    <c:autoTitleDeleted val="0"/>
    <c:plotArea>
      <c:layout/>
      <c:barChart>
        <c:barDir val="col"/>
        <c:grouping val="clustered"/>
        <c:varyColors val="0"/>
        <c:ser>
          <c:idx val="0"/>
          <c:order val="0"/>
          <c:invertIfNegative val="0"/>
          <c:dLbls>
            <c:dLbl>
              <c:idx val="4"/>
              <c:layout/>
              <c:showLegendKey val="0"/>
              <c:showVal val="1"/>
              <c:showCatName val="0"/>
              <c:showSerName val="0"/>
              <c:showPercent val="0"/>
              <c:showBubbleSize val="0"/>
            </c:dLbl>
            <c:showLegendKey val="0"/>
            <c:showVal val="0"/>
            <c:showCatName val="0"/>
            <c:showSerName val="0"/>
            <c:showPercent val="0"/>
            <c:showBubbleSize val="0"/>
          </c:dLbls>
          <c:cat>
            <c:strRef>
              <c:f>'5.ScenarioB'!$P$12:$X$12</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'5.ScenarioB'!$P$15:$X$15</c:f>
              <c:numCache>
                <c:formatCode>0.0</c:formatCode>
                <c:ptCount val="9"/>
                <c:pt idx="0">
                  <c:v>30.206846376958822</c:v>
                </c:pt>
                <c:pt idx="1">
                  <c:v>60.717069377325231</c:v>
                </c:pt>
                <c:pt idx="2">
                  <c:v>91.566823805961207</c:v>
                </c:pt>
                <c:pt idx="3">
                  <c:v>122.74310579958529</c:v>
                </c:pt>
                <c:pt idx="4">
                  <c:v>154.11942122367265</c:v>
                </c:pt>
                <c:pt idx="5">
                  <c:v>169.91064019214218</c:v>
                </c:pt>
                <c:pt idx="6">
                  <c:v>185.82567062769911</c:v>
                </c:pt>
                <c:pt idx="7">
                  <c:v>201.86510931056495</c:v>
                </c:pt>
                <c:pt idx="8">
                  <c:v>218.03237835695515</c:v>
                </c:pt>
              </c:numCache>
            </c:numRef>
          </c:val>
        </c:ser>
        <c:dLbls>
          <c:showLegendKey val="0"/>
          <c:showVal val="0"/>
          <c:showCatName val="0"/>
          <c:showSerName val="0"/>
          <c:showPercent val="0"/>
          <c:showBubbleSize val="0"/>
        </c:dLbls>
        <c:gapWidth val="150"/>
        <c:axId val="328086272"/>
        <c:axId val="328087808"/>
      </c:barChart>
      <c:catAx>
        <c:axId val="328086272"/>
        <c:scaling>
          <c:orientation val="minMax"/>
        </c:scaling>
        <c:delete val="0"/>
        <c:axPos val="b"/>
        <c:majorTickMark val="none"/>
        <c:minorTickMark val="none"/>
        <c:tickLblPos val="low"/>
        <c:crossAx val="328087808"/>
        <c:crosses val="autoZero"/>
        <c:auto val="1"/>
        <c:lblAlgn val="ctr"/>
        <c:lblOffset val="100"/>
        <c:noMultiLvlLbl val="0"/>
      </c:catAx>
      <c:valAx>
        <c:axId val="328087808"/>
        <c:scaling>
          <c:orientation val="minMax"/>
        </c:scaling>
        <c:delete val="0"/>
        <c:axPos val="l"/>
        <c:majorGridlines/>
        <c:title>
          <c:tx>
            <c:rich>
              <a:bodyPr/>
              <a:lstStyle/>
              <a:p>
                <a:pPr>
                  <a:defRPr/>
                </a:pPr>
                <a:r>
                  <a:rPr lang="en-AU"/>
                  <a:t>$ million</a:t>
                </a:r>
              </a:p>
            </c:rich>
          </c:tx>
          <c:layout/>
          <c:overlay val="0"/>
        </c:title>
        <c:numFmt formatCode="0" sourceLinked="0"/>
        <c:majorTickMark val="none"/>
        <c:minorTickMark val="none"/>
        <c:tickLblPos val="nextTo"/>
        <c:crossAx val="328086272"/>
        <c:crosses val="autoZero"/>
        <c:crossBetween val="between"/>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Industry gross value add</a:t>
            </a:r>
          </a:p>
        </c:rich>
      </c:tx>
      <c:layout/>
      <c:overlay val="0"/>
    </c:title>
    <c:autoTitleDeleted val="0"/>
    <c:plotArea>
      <c:layout/>
      <c:lineChart>
        <c:grouping val="standard"/>
        <c:varyColors val="0"/>
        <c:ser>
          <c:idx val="0"/>
          <c:order val="0"/>
          <c:tx>
            <c:v>Base case</c:v>
          </c:tx>
          <c:marker>
            <c:symbol val="none"/>
          </c:marker>
          <c:dLbls>
            <c:dLbl>
              <c:idx val="8"/>
              <c:layout>
                <c:manualLayout>
                  <c:x val="-6.6666666666666569E-2"/>
                  <c:y val="7.8703703703703706E-2"/>
                </c:manualLayout>
              </c:layout>
              <c:tx>
                <c:rich>
                  <a:bodyPr/>
                  <a:lstStyle/>
                  <a:p>
                    <a:r>
                      <a:rPr lang="en-US"/>
                      <a:t>Base case</a:t>
                    </a:r>
                  </a:p>
                </c:rich>
              </c:tx>
              <c:dLblPos val="r"/>
              <c:showLegendKey val="0"/>
              <c:showVal val="1"/>
              <c:showCatName val="0"/>
              <c:showSerName val="1"/>
              <c:showPercent val="0"/>
              <c:showBubbleSize val="0"/>
            </c:dLbl>
            <c:showLegendKey val="0"/>
            <c:showVal val="0"/>
            <c:showCatName val="0"/>
            <c:showSerName val="0"/>
            <c:showPercent val="0"/>
            <c:showBubbleSize val="0"/>
          </c:dLbls>
          <c:cat>
            <c:strRef>
              <c:f>'5.ScenarioB'!$P$12:$X$12</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'5.ScenarioB'!$P$40:$X$40</c:f>
              <c:numCache>
                <c:formatCode>0</c:formatCode>
                <c:ptCount val="9"/>
                <c:pt idx="0">
                  <c:v>118.47211741088383</c:v>
                </c:pt>
                <c:pt idx="1">
                  <c:v>116.56066060723137</c:v>
                </c:pt>
                <c:pt idx="2">
                  <c:v>118.24491350417728</c:v>
                </c:pt>
                <c:pt idx="3">
                  <c:v>119.43573951916218</c:v>
                </c:pt>
                <c:pt idx="4">
                  <c:v>121.49006257757883</c:v>
                </c:pt>
                <c:pt idx="5">
                  <c:v>123.14347629440218</c:v>
                </c:pt>
                <c:pt idx="6">
                  <c:v>124.78918021619485</c:v>
                </c:pt>
                <c:pt idx="7">
                  <c:v>126.42524689419926</c:v>
                </c:pt>
                <c:pt idx="8">
                  <c:v>128.17262373795856</c:v>
                </c:pt>
              </c:numCache>
            </c:numRef>
          </c:val>
          <c:smooth val="0"/>
        </c:ser>
        <c:ser>
          <c:idx val="1"/>
          <c:order val="1"/>
          <c:tx>
            <c:v>Scenario B</c:v>
          </c:tx>
          <c:marker>
            <c:symbol val="none"/>
          </c:marker>
          <c:dLbls>
            <c:dLbl>
              <c:idx val="8"/>
              <c:layout>
                <c:manualLayout>
                  <c:x val="-5.8333333333333438E-2"/>
                  <c:y val="-6.944444444444442E-2"/>
                </c:manualLayout>
              </c:layout>
              <c:tx>
                <c:rich>
                  <a:bodyPr/>
                  <a:lstStyle/>
                  <a:p>
                    <a:r>
                      <a:rPr lang="en-US"/>
                      <a:t>Scenario B</a:t>
                    </a:r>
                  </a:p>
                </c:rich>
              </c:tx>
              <c:dLblPos val="r"/>
              <c:showLegendKey val="0"/>
              <c:showVal val="1"/>
              <c:showCatName val="0"/>
              <c:showSerName val="1"/>
              <c:showPercent val="0"/>
              <c:showBubbleSize val="0"/>
            </c:dLbl>
            <c:showLegendKey val="0"/>
            <c:showVal val="0"/>
            <c:showCatName val="0"/>
            <c:showSerName val="0"/>
            <c:showPercent val="0"/>
            <c:showBubbleSize val="0"/>
          </c:dLbls>
          <c:cat>
            <c:strRef>
              <c:f>'5.ScenarioB'!$P$12:$X$12</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'5.ScenarioB'!$P$67:$X$67</c:f>
              <c:numCache>
                <c:formatCode>0.0</c:formatCode>
                <c:ptCount val="9"/>
                <c:pt idx="0">
                  <c:v>134.48965538442303</c:v>
                </c:pt>
                <c:pt idx="1">
                  <c:v>133.09287492643287</c:v>
                </c:pt>
                <c:pt idx="2">
                  <c:v>135.35538391808694</c:v>
                </c:pt>
                <c:pt idx="3">
                  <c:v>137.11901208246823</c:v>
                </c:pt>
                <c:pt idx="4">
                  <c:v>139.82964901264185</c:v>
                </c:pt>
                <c:pt idx="5">
                  <c:v>141.64804142481094</c:v>
                </c:pt>
                <c:pt idx="6">
                  <c:v>143.96766439859422</c:v>
                </c:pt>
                <c:pt idx="7">
                  <c:v>146.23365558802129</c:v>
                </c:pt>
                <c:pt idx="8">
                  <c:v>148.58451802935633</c:v>
                </c:pt>
              </c:numCache>
            </c:numRef>
          </c:val>
          <c:smooth val="0"/>
        </c:ser>
        <c:dLbls>
          <c:showLegendKey val="0"/>
          <c:showVal val="0"/>
          <c:showCatName val="0"/>
          <c:showSerName val="0"/>
          <c:showPercent val="0"/>
          <c:showBubbleSize val="0"/>
        </c:dLbls>
        <c:marker val="1"/>
        <c:smooth val="0"/>
        <c:axId val="328130944"/>
        <c:axId val="328132480"/>
      </c:lineChart>
      <c:catAx>
        <c:axId val="328130944"/>
        <c:scaling>
          <c:orientation val="minMax"/>
        </c:scaling>
        <c:delete val="0"/>
        <c:axPos val="b"/>
        <c:majorTickMark val="none"/>
        <c:minorTickMark val="none"/>
        <c:tickLblPos val="nextTo"/>
        <c:crossAx val="328132480"/>
        <c:crosses val="autoZero"/>
        <c:auto val="1"/>
        <c:lblAlgn val="ctr"/>
        <c:lblOffset val="100"/>
        <c:noMultiLvlLbl val="0"/>
      </c:catAx>
      <c:valAx>
        <c:axId val="328132480"/>
        <c:scaling>
          <c:orientation val="minMax"/>
          <c:min val="80"/>
        </c:scaling>
        <c:delete val="0"/>
        <c:axPos val="l"/>
        <c:majorGridlines/>
        <c:title>
          <c:tx>
            <c:rich>
              <a:bodyPr/>
              <a:lstStyle/>
              <a:p>
                <a:pPr>
                  <a:defRPr/>
                </a:pPr>
                <a:r>
                  <a:rPr lang="en-AU"/>
                  <a:t>$ million</a:t>
                </a:r>
              </a:p>
            </c:rich>
          </c:tx>
          <c:layout/>
          <c:overlay val="0"/>
        </c:title>
        <c:numFmt formatCode="0" sourceLinked="1"/>
        <c:majorTickMark val="none"/>
        <c:minorTickMark val="none"/>
        <c:tickLblPos val="nextTo"/>
        <c:crossAx val="32813094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Industry gross value add, deviation from base case</a:t>
            </a:r>
          </a:p>
        </c:rich>
      </c:tx>
      <c:layout/>
      <c:overlay val="0"/>
    </c:title>
    <c:autoTitleDeleted val="0"/>
    <c:plotArea>
      <c:layout/>
      <c:barChart>
        <c:barDir val="col"/>
        <c:grouping val="clustered"/>
        <c:varyColors val="0"/>
        <c:ser>
          <c:idx val="0"/>
          <c:order val="0"/>
          <c:invertIfNegative val="0"/>
          <c:cat>
            <c:strRef>
              <c:f>'5.ScenarioB'!$P$20:$X$20</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'5.ScenarioB'!$P$95:$X$95</c:f>
              <c:numCache>
                <c:formatCode>0</c:formatCode>
                <c:ptCount val="9"/>
                <c:pt idx="0">
                  <c:v>16.017537973539206</c:v>
                </c:pt>
                <c:pt idx="1">
                  <c:v>16.532214319201501</c:v>
                </c:pt>
                <c:pt idx="2">
                  <c:v>17.110470413909667</c:v>
                </c:pt>
                <c:pt idx="3">
                  <c:v>17.683272563306048</c:v>
                </c:pt>
                <c:pt idx="4">
                  <c:v>18.339586435063026</c:v>
                </c:pt>
                <c:pt idx="5">
                  <c:v>18.504565130408764</c:v>
                </c:pt>
                <c:pt idx="6">
                  <c:v>19.178484182399373</c:v>
                </c:pt>
                <c:pt idx="7">
                  <c:v>19.808408693822031</c:v>
                </c:pt>
                <c:pt idx="8">
                  <c:v>20.411894291397772</c:v>
                </c:pt>
              </c:numCache>
            </c:numRef>
          </c:val>
        </c:ser>
        <c:dLbls>
          <c:showLegendKey val="0"/>
          <c:showVal val="0"/>
          <c:showCatName val="0"/>
          <c:showSerName val="0"/>
          <c:showPercent val="0"/>
          <c:showBubbleSize val="0"/>
        </c:dLbls>
        <c:gapWidth val="150"/>
        <c:axId val="328251264"/>
        <c:axId val="328252800"/>
      </c:barChart>
      <c:catAx>
        <c:axId val="328251264"/>
        <c:scaling>
          <c:orientation val="minMax"/>
        </c:scaling>
        <c:delete val="0"/>
        <c:axPos val="b"/>
        <c:majorTickMark val="none"/>
        <c:minorTickMark val="none"/>
        <c:tickLblPos val="nextTo"/>
        <c:crossAx val="328252800"/>
        <c:crosses val="autoZero"/>
        <c:auto val="1"/>
        <c:lblAlgn val="ctr"/>
        <c:lblOffset val="100"/>
        <c:noMultiLvlLbl val="0"/>
      </c:catAx>
      <c:valAx>
        <c:axId val="328252800"/>
        <c:scaling>
          <c:orientation val="minMax"/>
        </c:scaling>
        <c:delete val="0"/>
        <c:axPos val="l"/>
        <c:majorGridlines/>
        <c:title>
          <c:tx>
            <c:rich>
              <a:bodyPr/>
              <a:lstStyle/>
              <a:p>
                <a:pPr>
                  <a:defRPr/>
                </a:pPr>
                <a:r>
                  <a:rPr lang="en-AU"/>
                  <a:t>$ million</a:t>
                </a:r>
              </a:p>
            </c:rich>
          </c:tx>
          <c:layout/>
          <c:overlay val="0"/>
        </c:title>
        <c:numFmt formatCode="0" sourceLinked="1"/>
        <c:majorTickMark val="none"/>
        <c:minorTickMark val="none"/>
        <c:tickLblPos val="nextTo"/>
        <c:crossAx val="328251264"/>
        <c:crosses val="autoZero"/>
        <c:crossBetween val="between"/>
      </c:valAx>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Industry employment</a:t>
            </a:r>
          </a:p>
        </c:rich>
      </c:tx>
      <c:layout/>
      <c:overlay val="0"/>
    </c:title>
    <c:autoTitleDeleted val="0"/>
    <c:plotArea>
      <c:layout/>
      <c:lineChart>
        <c:grouping val="standard"/>
        <c:varyColors val="0"/>
        <c:ser>
          <c:idx val="0"/>
          <c:order val="0"/>
          <c:marker>
            <c:symbol val="none"/>
          </c:marker>
          <c:cat>
            <c:strRef>
              <c:f>'5.ScenarioB'!$P$47:$X$47</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'5.ScenarioB'!$P$34:$X$34</c:f>
              <c:numCache>
                <c:formatCode>0</c:formatCode>
                <c:ptCount val="9"/>
                <c:pt idx="0">
                  <c:v>987.26764509069869</c:v>
                </c:pt>
                <c:pt idx="1">
                  <c:v>971.33883839359476</c:v>
                </c:pt>
                <c:pt idx="2">
                  <c:v>985.37427920147741</c:v>
                </c:pt>
                <c:pt idx="3">
                  <c:v>995.29782932635158</c:v>
                </c:pt>
                <c:pt idx="4">
                  <c:v>1012.4171881464903</c:v>
                </c:pt>
                <c:pt idx="5">
                  <c:v>1026.1956357866848</c:v>
                </c:pt>
                <c:pt idx="6">
                  <c:v>1039.9098351349571</c:v>
                </c:pt>
                <c:pt idx="7">
                  <c:v>1053.5437241183272</c:v>
                </c:pt>
                <c:pt idx="8">
                  <c:v>1068.1051978163214</c:v>
                </c:pt>
              </c:numCache>
            </c:numRef>
          </c:val>
          <c:smooth val="0"/>
        </c:ser>
        <c:ser>
          <c:idx val="1"/>
          <c:order val="1"/>
          <c:marker>
            <c:symbol val="none"/>
          </c:marker>
          <c:cat>
            <c:strRef>
              <c:f>'5.ScenarioB'!$P$47:$X$47</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'5.ScenarioB'!$P$61:$X$61</c:f>
              <c:numCache>
                <c:formatCode>0</c:formatCode>
                <c:ptCount val="9"/>
                <c:pt idx="0">
                  <c:v>1574.3331621282919</c:v>
                </c:pt>
                <c:pt idx="1">
                  <c:v>1552.6310388832696</c:v>
                </c:pt>
                <c:pt idx="2">
                  <c:v>1565.2996408294287</c:v>
                </c:pt>
                <c:pt idx="3">
                  <c:v>1574.3548296801714</c:v>
                </c:pt>
                <c:pt idx="4">
                  <c:v>1596.5949328807189</c:v>
                </c:pt>
                <c:pt idx="5">
                  <c:v>1590.0973221256636</c:v>
                </c:pt>
                <c:pt idx="6">
                  <c:v>1611.2195941554255</c:v>
                </c:pt>
                <c:pt idx="7">
                  <c:v>1630.9057640118033</c:v>
                </c:pt>
                <c:pt idx="8">
                  <c:v>1650.9710456283599</c:v>
                </c:pt>
              </c:numCache>
            </c:numRef>
          </c:val>
          <c:smooth val="0"/>
        </c:ser>
        <c:dLbls>
          <c:showLegendKey val="0"/>
          <c:showVal val="0"/>
          <c:showCatName val="0"/>
          <c:showSerName val="0"/>
          <c:showPercent val="0"/>
          <c:showBubbleSize val="0"/>
        </c:dLbls>
        <c:marker val="1"/>
        <c:smooth val="0"/>
        <c:axId val="336146816"/>
        <c:axId val="336148352"/>
      </c:lineChart>
      <c:catAx>
        <c:axId val="336146816"/>
        <c:scaling>
          <c:orientation val="minMax"/>
        </c:scaling>
        <c:delete val="0"/>
        <c:axPos val="b"/>
        <c:majorTickMark val="none"/>
        <c:minorTickMark val="none"/>
        <c:tickLblPos val="nextTo"/>
        <c:crossAx val="336148352"/>
        <c:crosses val="autoZero"/>
        <c:auto val="1"/>
        <c:lblAlgn val="ctr"/>
        <c:lblOffset val="100"/>
        <c:noMultiLvlLbl val="0"/>
      </c:catAx>
      <c:valAx>
        <c:axId val="336148352"/>
        <c:scaling>
          <c:orientation val="minMax"/>
          <c:min val="80"/>
        </c:scaling>
        <c:delete val="0"/>
        <c:axPos val="l"/>
        <c:majorGridlines/>
        <c:title>
          <c:tx>
            <c:rich>
              <a:bodyPr/>
              <a:lstStyle/>
              <a:p>
                <a:pPr>
                  <a:defRPr/>
                </a:pPr>
                <a:r>
                  <a:rPr lang="en-AU"/>
                  <a:t>persons</a:t>
                </a:r>
              </a:p>
            </c:rich>
          </c:tx>
          <c:layout/>
          <c:overlay val="0"/>
        </c:title>
        <c:numFmt formatCode="0" sourceLinked="1"/>
        <c:majorTickMark val="none"/>
        <c:minorTickMark val="none"/>
        <c:tickLblPos val="nextTo"/>
        <c:crossAx val="336146816"/>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Industry employment, deviation from base case</a:t>
            </a:r>
          </a:p>
        </c:rich>
      </c:tx>
      <c:layout/>
      <c:overlay val="0"/>
    </c:title>
    <c:autoTitleDeleted val="0"/>
    <c:plotArea>
      <c:layout/>
      <c:barChart>
        <c:barDir val="col"/>
        <c:grouping val="clustered"/>
        <c:varyColors val="0"/>
        <c:ser>
          <c:idx val="0"/>
          <c:order val="0"/>
          <c:invertIfNegative val="0"/>
          <c:cat>
            <c:strRef>
              <c:f>'5.ScenarioB'!$P$47:$X$47</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'5.ScenarioB'!$P$89:$X$89</c:f>
              <c:numCache>
                <c:formatCode>0</c:formatCode>
                <c:ptCount val="9"/>
                <c:pt idx="0">
                  <c:v>587.06551703759317</c:v>
                </c:pt>
                <c:pt idx="1">
                  <c:v>581.29220048967488</c:v>
                </c:pt>
                <c:pt idx="2">
                  <c:v>579.92536162795125</c:v>
                </c:pt>
                <c:pt idx="3">
                  <c:v>579.05700035381983</c:v>
                </c:pt>
                <c:pt idx="4">
                  <c:v>584.17774473422867</c:v>
                </c:pt>
                <c:pt idx="5">
                  <c:v>563.90168633897883</c:v>
                </c:pt>
                <c:pt idx="6">
                  <c:v>571.30975902046839</c:v>
                </c:pt>
                <c:pt idx="7">
                  <c:v>577.36203989347609</c:v>
                </c:pt>
                <c:pt idx="8">
                  <c:v>582.86584781203851</c:v>
                </c:pt>
              </c:numCache>
            </c:numRef>
          </c:val>
        </c:ser>
        <c:dLbls>
          <c:showLegendKey val="0"/>
          <c:showVal val="0"/>
          <c:showCatName val="0"/>
          <c:showSerName val="0"/>
          <c:showPercent val="0"/>
          <c:showBubbleSize val="0"/>
        </c:dLbls>
        <c:gapWidth val="150"/>
        <c:axId val="336169600"/>
        <c:axId val="336175488"/>
      </c:barChart>
      <c:catAx>
        <c:axId val="336169600"/>
        <c:scaling>
          <c:orientation val="minMax"/>
        </c:scaling>
        <c:delete val="0"/>
        <c:axPos val="b"/>
        <c:numFmt formatCode="0" sourceLinked="1"/>
        <c:majorTickMark val="none"/>
        <c:minorTickMark val="none"/>
        <c:tickLblPos val="nextTo"/>
        <c:crossAx val="336175488"/>
        <c:crosses val="autoZero"/>
        <c:auto val="1"/>
        <c:lblAlgn val="ctr"/>
        <c:lblOffset val="100"/>
        <c:noMultiLvlLbl val="0"/>
      </c:catAx>
      <c:valAx>
        <c:axId val="336175488"/>
        <c:scaling>
          <c:orientation val="minMax"/>
        </c:scaling>
        <c:delete val="0"/>
        <c:axPos val="l"/>
        <c:majorGridlines/>
        <c:title>
          <c:tx>
            <c:rich>
              <a:bodyPr/>
              <a:lstStyle/>
              <a:p>
                <a:pPr>
                  <a:defRPr/>
                </a:pPr>
                <a:r>
                  <a:rPr lang="en-AU"/>
                  <a:t>persons</a:t>
                </a:r>
              </a:p>
            </c:rich>
          </c:tx>
          <c:layout/>
          <c:overlay val="0"/>
        </c:title>
        <c:numFmt formatCode="0" sourceLinked="1"/>
        <c:majorTickMark val="none"/>
        <c:minorTickMark val="none"/>
        <c:tickLblPos val="nextTo"/>
        <c:crossAx val="336169600"/>
        <c:crosses val="autoZero"/>
        <c:crossBetween val="between"/>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Wagering</a:t>
            </a:r>
          </a:p>
        </c:rich>
      </c:tx>
      <c:layout/>
      <c:overlay val="0"/>
    </c:title>
    <c:autoTitleDeleted val="0"/>
    <c:plotArea>
      <c:layout/>
      <c:lineChart>
        <c:grouping val="standard"/>
        <c:varyColors val="0"/>
        <c:ser>
          <c:idx val="0"/>
          <c:order val="0"/>
          <c:tx>
            <c:v>Base case</c:v>
          </c:tx>
          <c:marker>
            <c:symbol val="none"/>
          </c:marker>
          <c:dLbls>
            <c:dLbl>
              <c:idx val="8"/>
              <c:layout>
                <c:manualLayout>
                  <c:x val="-6.6666666666666569E-2"/>
                  <c:y val="7.8703703703703706E-2"/>
                </c:manualLayout>
              </c:layout>
              <c:tx>
                <c:rich>
                  <a:bodyPr/>
                  <a:lstStyle/>
                  <a:p>
                    <a:r>
                      <a:rPr lang="en-US"/>
                      <a:t>Base case</a:t>
                    </a:r>
                  </a:p>
                </c:rich>
              </c:tx>
              <c:dLblPos val="r"/>
              <c:showLegendKey val="0"/>
              <c:showVal val="1"/>
              <c:showCatName val="0"/>
              <c:showSerName val="1"/>
              <c:showPercent val="0"/>
              <c:showBubbleSize val="0"/>
            </c:dLbl>
            <c:showLegendKey val="0"/>
            <c:showVal val="0"/>
            <c:showCatName val="0"/>
            <c:showSerName val="0"/>
            <c:showPercent val="0"/>
            <c:showBubbleSize val="0"/>
          </c:dLbls>
          <c:cat>
            <c:strRef>
              <c:f>'5.ScenarioB'!$P$12:$X$12</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'5.ScenarioB'!$P$29:$X$29</c:f>
              <c:numCache>
                <c:formatCode>0</c:formatCode>
                <c:ptCount val="9"/>
                <c:pt idx="0">
                  <c:v>1054.3419999999999</c:v>
                </c:pt>
                <c:pt idx="1">
                  <c:v>1037.3309999999999</c:v>
                </c:pt>
                <c:pt idx="2">
                  <c:v>1052.32</c:v>
                </c:pt>
                <c:pt idx="3">
                  <c:v>1062.9177500000001</c:v>
                </c:pt>
                <c:pt idx="4">
                  <c:v>1081.2001874999999</c:v>
                </c:pt>
                <c:pt idx="5">
                  <c:v>1095.9147343750001</c:v>
                </c:pt>
                <c:pt idx="6">
                  <c:v>1110.5606679687498</c:v>
                </c:pt>
                <c:pt idx="7">
                  <c:v>1125.1208349609374</c:v>
                </c:pt>
                <c:pt idx="8">
                  <c:v>1140.6716062011719</c:v>
                </c:pt>
              </c:numCache>
            </c:numRef>
          </c:val>
          <c:smooth val="0"/>
        </c:ser>
        <c:ser>
          <c:idx val="1"/>
          <c:order val="1"/>
          <c:tx>
            <c:v>Scenario B</c:v>
          </c:tx>
          <c:marker>
            <c:symbol val="none"/>
          </c:marker>
          <c:dLbls>
            <c:dLbl>
              <c:idx val="8"/>
              <c:layout>
                <c:manualLayout>
                  <c:x val="-5.8333333333333438E-2"/>
                  <c:y val="-6.944444444444442E-2"/>
                </c:manualLayout>
              </c:layout>
              <c:tx>
                <c:rich>
                  <a:bodyPr/>
                  <a:lstStyle/>
                  <a:p>
                    <a:r>
                      <a:rPr lang="en-US"/>
                      <a:t>Scenario B</a:t>
                    </a:r>
                  </a:p>
                </c:rich>
              </c:tx>
              <c:dLblPos val="r"/>
              <c:showLegendKey val="0"/>
              <c:showVal val="1"/>
              <c:showCatName val="0"/>
              <c:showSerName val="1"/>
              <c:showPercent val="0"/>
              <c:showBubbleSize val="0"/>
            </c:dLbl>
            <c:showLegendKey val="0"/>
            <c:showVal val="0"/>
            <c:showCatName val="0"/>
            <c:showSerName val="0"/>
            <c:showPercent val="0"/>
            <c:showBubbleSize val="0"/>
          </c:dLbls>
          <c:cat>
            <c:strRef>
              <c:f>'5.ScenarioB'!$P$12:$X$12</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'5.ScenarioB'!$P$56:$X$56</c:f>
              <c:numCache>
                <c:formatCode>0</c:formatCode>
                <c:ptCount val="9"/>
                <c:pt idx="0">
                  <c:v>1196.889996871927</c:v>
                </c:pt>
                <c:pt idx="1">
                  <c:v>1184.4593563649232</c:v>
                </c:pt>
                <c:pt idx="2">
                  <c:v>1204.594543507779</c:v>
                </c:pt>
                <c:pt idx="3">
                  <c:v>1220.2899432923639</c:v>
                </c:pt>
                <c:pt idx="4">
                  <c:v>1244.4132427208804</c:v>
                </c:pt>
                <c:pt idx="5">
                  <c:v>1260.5960166471868</c:v>
                </c:pt>
                <c:pt idx="6">
                  <c:v>1281.2394893804592</c:v>
                </c:pt>
                <c:pt idx="7">
                  <c:v>1301.4056663244987</c:v>
                </c:pt>
                <c:pt idx="8">
                  <c:v>1322.3271545386899</c:v>
                </c:pt>
              </c:numCache>
            </c:numRef>
          </c:val>
          <c:smooth val="0"/>
        </c:ser>
        <c:dLbls>
          <c:showLegendKey val="0"/>
          <c:showVal val="0"/>
          <c:showCatName val="0"/>
          <c:showSerName val="0"/>
          <c:showPercent val="0"/>
          <c:showBubbleSize val="0"/>
        </c:dLbls>
        <c:marker val="1"/>
        <c:smooth val="0"/>
        <c:axId val="336206080"/>
        <c:axId val="336220160"/>
      </c:lineChart>
      <c:catAx>
        <c:axId val="336206080"/>
        <c:scaling>
          <c:orientation val="minMax"/>
        </c:scaling>
        <c:delete val="0"/>
        <c:axPos val="b"/>
        <c:majorTickMark val="none"/>
        <c:minorTickMark val="none"/>
        <c:tickLblPos val="nextTo"/>
        <c:crossAx val="336220160"/>
        <c:crosses val="autoZero"/>
        <c:auto val="1"/>
        <c:lblAlgn val="ctr"/>
        <c:lblOffset val="100"/>
        <c:noMultiLvlLbl val="0"/>
      </c:catAx>
      <c:valAx>
        <c:axId val="336220160"/>
        <c:scaling>
          <c:orientation val="minMax"/>
          <c:min val="500"/>
        </c:scaling>
        <c:delete val="0"/>
        <c:axPos val="l"/>
        <c:majorGridlines/>
        <c:title>
          <c:tx>
            <c:rich>
              <a:bodyPr/>
              <a:lstStyle/>
              <a:p>
                <a:pPr>
                  <a:defRPr/>
                </a:pPr>
                <a:r>
                  <a:rPr lang="en-AU"/>
                  <a:t>$ million</a:t>
                </a:r>
              </a:p>
            </c:rich>
          </c:tx>
          <c:layout/>
          <c:overlay val="0"/>
        </c:title>
        <c:numFmt formatCode="0" sourceLinked="1"/>
        <c:majorTickMark val="none"/>
        <c:minorTickMark val="none"/>
        <c:tickLblPos val="nextTo"/>
        <c:crossAx val="336206080"/>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Wagering, deviation from base case</a:t>
            </a:r>
          </a:p>
        </c:rich>
      </c:tx>
      <c:layout/>
      <c:overlay val="0"/>
    </c:title>
    <c:autoTitleDeleted val="0"/>
    <c:plotArea>
      <c:layout/>
      <c:barChart>
        <c:barDir val="col"/>
        <c:grouping val="clustered"/>
        <c:varyColors val="0"/>
        <c:ser>
          <c:idx val="0"/>
          <c:order val="0"/>
          <c:invertIfNegative val="0"/>
          <c:cat>
            <c:strRef>
              <c:f>'5.ScenarioB'!$P$20:$X$20</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'5.ScenarioB'!$P$84:$X$84</c:f>
              <c:numCache>
                <c:formatCode>0</c:formatCode>
                <c:ptCount val="9"/>
                <c:pt idx="0">
                  <c:v>142.54799687192713</c:v>
                </c:pt>
                <c:pt idx="1">
                  <c:v>147.12835636492332</c:v>
                </c:pt>
                <c:pt idx="2">
                  <c:v>152.27454350777907</c:v>
                </c:pt>
                <c:pt idx="3">
                  <c:v>157.37219329236382</c:v>
                </c:pt>
                <c:pt idx="4">
                  <c:v>163.21305522088051</c:v>
                </c:pt>
                <c:pt idx="5">
                  <c:v>164.68128227218676</c:v>
                </c:pt>
                <c:pt idx="6">
                  <c:v>170.67882141170935</c:v>
                </c:pt>
                <c:pt idx="7">
                  <c:v>176.28483136356135</c:v>
                </c:pt>
                <c:pt idx="8">
                  <c:v>181.65554833751798</c:v>
                </c:pt>
              </c:numCache>
            </c:numRef>
          </c:val>
        </c:ser>
        <c:dLbls>
          <c:showLegendKey val="0"/>
          <c:showVal val="0"/>
          <c:showCatName val="0"/>
          <c:showSerName val="0"/>
          <c:showPercent val="0"/>
          <c:showBubbleSize val="0"/>
        </c:dLbls>
        <c:gapWidth val="150"/>
        <c:axId val="336252928"/>
        <c:axId val="336254464"/>
      </c:barChart>
      <c:catAx>
        <c:axId val="336252928"/>
        <c:scaling>
          <c:orientation val="minMax"/>
        </c:scaling>
        <c:delete val="0"/>
        <c:axPos val="b"/>
        <c:majorTickMark val="none"/>
        <c:minorTickMark val="none"/>
        <c:tickLblPos val="nextTo"/>
        <c:crossAx val="336254464"/>
        <c:crosses val="autoZero"/>
        <c:auto val="1"/>
        <c:lblAlgn val="ctr"/>
        <c:lblOffset val="100"/>
        <c:noMultiLvlLbl val="0"/>
      </c:catAx>
      <c:valAx>
        <c:axId val="336254464"/>
        <c:scaling>
          <c:orientation val="minMax"/>
        </c:scaling>
        <c:delete val="0"/>
        <c:axPos val="l"/>
        <c:majorGridlines/>
        <c:title>
          <c:tx>
            <c:rich>
              <a:bodyPr/>
              <a:lstStyle/>
              <a:p>
                <a:pPr>
                  <a:defRPr/>
                </a:pPr>
                <a:r>
                  <a:rPr lang="en-AU"/>
                  <a:t>$ million</a:t>
                </a:r>
              </a:p>
            </c:rich>
          </c:tx>
          <c:layout/>
          <c:overlay val="0"/>
        </c:title>
        <c:numFmt formatCode="0" sourceLinked="1"/>
        <c:majorTickMark val="none"/>
        <c:minorTickMark val="none"/>
        <c:tickLblPos val="nextTo"/>
        <c:crossAx val="336252928"/>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a:pPr>
            <a:r>
              <a:rPr lang="en-AU"/>
              <a:t>NSW direct fiscal effect, annual</a:t>
            </a:r>
          </a:p>
        </c:rich>
      </c:tx>
      <c:layout/>
      <c:overlay val="0"/>
    </c:title>
    <c:autoTitleDeleted val="0"/>
    <c:plotArea>
      <c:layout/>
      <c:barChart>
        <c:barDir val="col"/>
        <c:grouping val="clustered"/>
        <c:varyColors val="0"/>
        <c:ser>
          <c:idx val="0"/>
          <c:order val="0"/>
          <c:invertIfNegative val="0"/>
          <c:dPt>
            <c:idx val="5"/>
            <c:invertIfNegative val="0"/>
            <c:bubble3D val="0"/>
            <c:spPr>
              <a:solidFill>
                <a:schemeClr val="accent2">
                  <a:lumMod val="75000"/>
                </a:schemeClr>
              </a:solidFill>
            </c:spPr>
          </c:dPt>
          <c:dPt>
            <c:idx val="6"/>
            <c:invertIfNegative val="0"/>
            <c:bubble3D val="0"/>
            <c:spPr>
              <a:solidFill>
                <a:schemeClr val="accent2">
                  <a:lumMod val="75000"/>
                </a:schemeClr>
              </a:solidFill>
            </c:spPr>
          </c:dPt>
          <c:dPt>
            <c:idx val="7"/>
            <c:invertIfNegative val="0"/>
            <c:bubble3D val="0"/>
            <c:spPr>
              <a:solidFill>
                <a:schemeClr val="accent2">
                  <a:lumMod val="75000"/>
                </a:schemeClr>
              </a:solidFill>
            </c:spPr>
          </c:dPt>
          <c:dPt>
            <c:idx val="8"/>
            <c:invertIfNegative val="0"/>
            <c:bubble3D val="0"/>
            <c:spPr>
              <a:solidFill>
                <a:schemeClr val="accent2">
                  <a:lumMod val="75000"/>
                </a:schemeClr>
              </a:solidFill>
            </c:spPr>
          </c:dPt>
          <c:cat>
            <c:strRef>
              <c:f>'6.ScenarioC'!$P$12:$X$12</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'6.ScenarioC'!$P$23:$X$23</c:f>
              <c:numCache>
                <c:formatCode>0.0</c:formatCode>
                <c:ptCount val="9"/>
                <c:pt idx="0">
                  <c:v>-15.888720431768489</c:v>
                </c:pt>
                <c:pt idx="1">
                  <c:v>-15.62414884374523</c:v>
                </c:pt>
                <c:pt idx="2">
                  <c:v>-15.857272324603537</c:v>
                </c:pt>
                <c:pt idx="3">
                  <c:v>-16.044882694836843</c:v>
                </c:pt>
                <c:pt idx="4">
                  <c:v>-16.312141008663897</c:v>
                </c:pt>
                <c:pt idx="5">
                  <c:v>-16.831527077330378</c:v>
                </c:pt>
                <c:pt idx="6">
                  <c:v>-17.542956234078002</c:v>
                </c:pt>
                <c:pt idx="7">
                  <c:v>-18.25607626811988</c:v>
                </c:pt>
                <c:pt idx="8">
                  <c:v>-18.97889229810556</c:v>
                </c:pt>
              </c:numCache>
            </c:numRef>
          </c:val>
        </c:ser>
        <c:dLbls>
          <c:showLegendKey val="0"/>
          <c:showVal val="0"/>
          <c:showCatName val="0"/>
          <c:showSerName val="0"/>
          <c:showPercent val="0"/>
          <c:showBubbleSize val="0"/>
        </c:dLbls>
        <c:gapWidth val="150"/>
        <c:axId val="336288768"/>
        <c:axId val="336290560"/>
      </c:barChart>
      <c:catAx>
        <c:axId val="336288768"/>
        <c:scaling>
          <c:orientation val="minMax"/>
        </c:scaling>
        <c:delete val="0"/>
        <c:axPos val="b"/>
        <c:majorTickMark val="none"/>
        <c:minorTickMark val="none"/>
        <c:tickLblPos val="low"/>
        <c:crossAx val="336290560"/>
        <c:crosses val="autoZero"/>
        <c:auto val="1"/>
        <c:lblAlgn val="ctr"/>
        <c:lblOffset val="100"/>
        <c:noMultiLvlLbl val="0"/>
      </c:catAx>
      <c:valAx>
        <c:axId val="336290560"/>
        <c:scaling>
          <c:orientation val="minMax"/>
        </c:scaling>
        <c:delete val="0"/>
        <c:axPos val="l"/>
        <c:majorGridlines/>
        <c:title>
          <c:tx>
            <c:rich>
              <a:bodyPr/>
              <a:lstStyle/>
              <a:p>
                <a:pPr>
                  <a:defRPr/>
                </a:pPr>
                <a:r>
                  <a:rPr lang="en-AU"/>
                  <a:t>$ million</a:t>
                </a:r>
              </a:p>
            </c:rich>
          </c:tx>
          <c:layout/>
          <c:overlay val="0"/>
        </c:title>
        <c:numFmt formatCode="0" sourceLinked="0"/>
        <c:majorTickMark val="none"/>
        <c:minorTickMark val="none"/>
        <c:tickLblPos val="nextTo"/>
        <c:crossAx val="336288768"/>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Net tax effect* (annual)</a:t>
            </a:r>
          </a:p>
        </c:rich>
      </c:tx>
      <c:layout/>
      <c:overlay val="0"/>
    </c:title>
    <c:autoTitleDeleted val="0"/>
    <c:plotArea>
      <c:layout>
        <c:manualLayout>
          <c:layoutTarget val="inner"/>
          <c:xMode val="edge"/>
          <c:yMode val="edge"/>
          <c:x val="0.16528159883629004"/>
          <c:y val="0.15455582475267515"/>
          <c:w val="0.83464804098282896"/>
          <c:h val="0.46258294636247393"/>
        </c:manualLayout>
      </c:layout>
      <c:lineChart>
        <c:grouping val="standard"/>
        <c:varyColors val="0"/>
        <c:ser>
          <c:idx val="0"/>
          <c:order val="0"/>
          <c:tx>
            <c:strRef>
              <c:f>'3.Summary'!$M$12</c:f>
              <c:strCache>
                <c:ptCount val="1"/>
                <c:pt idx="0">
                  <c:v>Scenario B</c:v>
                </c:pt>
              </c:strCache>
            </c:strRef>
          </c:tx>
          <c:marker>
            <c:symbol val="none"/>
          </c:marker>
          <c:cat>
            <c:strRef>
              <c:f>'3.Summary'!$N$11:$V$11</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'3.Summary'!$N$12:$V$12</c:f>
              <c:numCache>
                <c:formatCode>0.0</c:formatCode>
                <c:ptCount val="9"/>
                <c:pt idx="0">
                  <c:v>-2.1627999999958618</c:v>
                </c:pt>
                <c:pt idx="1">
                  <c:v>-0.50299999998896539</c:v>
                </c:pt>
                <c:pt idx="2">
                  <c:v>-0.11533000000304128</c:v>
                </c:pt>
                <c:pt idx="3">
                  <c:v>9.0500000007807557E-2</c:v>
                </c:pt>
                <c:pt idx="4">
                  <c:v>0.13860000001011485</c:v>
                </c:pt>
                <c:pt idx="5">
                  <c:v>-1.1200999999899324</c:v>
                </c:pt>
                <c:pt idx="6">
                  <c:v>1.8009999999927118</c:v>
                </c:pt>
                <c:pt idx="7">
                  <c:v>1.6371000000237927</c:v>
                </c:pt>
                <c:pt idx="8">
                  <c:v>1.3791999999909592</c:v>
                </c:pt>
              </c:numCache>
            </c:numRef>
          </c:val>
          <c:smooth val="0"/>
        </c:ser>
        <c:ser>
          <c:idx val="1"/>
          <c:order val="1"/>
          <c:tx>
            <c:strRef>
              <c:f>'3.Summary'!$M$13</c:f>
              <c:strCache>
                <c:ptCount val="1"/>
                <c:pt idx="0">
                  <c:v>Scenario C</c:v>
                </c:pt>
              </c:strCache>
            </c:strRef>
          </c:tx>
          <c:marker>
            <c:symbol val="none"/>
          </c:marker>
          <c:cat>
            <c:strRef>
              <c:f>'3.Summary'!$N$11:$V$11</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'3.Summary'!$N$13:$V$13</c:f>
              <c:numCache>
                <c:formatCode>0.0</c:formatCode>
                <c:ptCount val="9"/>
                <c:pt idx="0">
                  <c:v>7.3399999985461761E-2</c:v>
                </c:pt>
                <c:pt idx="1">
                  <c:v>-4.5899999998717078E-2</c:v>
                </c:pt>
                <c:pt idx="2">
                  <c:v>0.3056599999863181</c:v>
                </c:pt>
                <c:pt idx="3">
                  <c:v>0.52370000001428707</c:v>
                </c:pt>
                <c:pt idx="4">
                  <c:v>0.56920000000390303</c:v>
                </c:pt>
                <c:pt idx="5">
                  <c:v>-1.6757999999927335</c:v>
                </c:pt>
                <c:pt idx="6">
                  <c:v>0.54640000000057398</c:v>
                </c:pt>
                <c:pt idx="7">
                  <c:v>0.67920000001353742</c:v>
                </c:pt>
                <c:pt idx="8">
                  <c:v>0.70129999999841175</c:v>
                </c:pt>
              </c:numCache>
            </c:numRef>
          </c:val>
          <c:smooth val="0"/>
        </c:ser>
        <c:ser>
          <c:idx val="2"/>
          <c:order val="2"/>
          <c:tx>
            <c:strRef>
              <c:f>'3.Summary'!$M$14</c:f>
              <c:strCache>
                <c:ptCount val="1"/>
                <c:pt idx="0">
                  <c:v>Scenario D</c:v>
                </c:pt>
              </c:strCache>
            </c:strRef>
          </c:tx>
          <c:marker>
            <c:symbol val="none"/>
          </c:marker>
          <c:cat>
            <c:strRef>
              <c:f>'3.Summary'!$N$11:$V$11</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'3.Summary'!$N$14:$V$14</c:f>
              <c:numCache>
                <c:formatCode>0.0</c:formatCode>
                <c:ptCount val="9"/>
                <c:pt idx="0">
                  <c:v>0.36820000000201958</c:v>
                </c:pt>
                <c:pt idx="1">
                  <c:v>2.1184000000026941</c:v>
                </c:pt>
                <c:pt idx="2">
                  <c:v>2.1882599999851351</c:v>
                </c:pt>
                <c:pt idx="3">
                  <c:v>2.5997999999908927</c:v>
                </c:pt>
                <c:pt idx="4">
                  <c:v>2.2921999999868774</c:v>
                </c:pt>
                <c:pt idx="5">
                  <c:v>1.577799999993033</c:v>
                </c:pt>
                <c:pt idx="6">
                  <c:v>1.2802999999960321</c:v>
                </c:pt>
                <c:pt idx="7">
                  <c:v>1.5880000000203154</c:v>
                </c:pt>
                <c:pt idx="8">
                  <c:v>1.5843000000035374</c:v>
                </c:pt>
              </c:numCache>
            </c:numRef>
          </c:val>
          <c:smooth val="0"/>
        </c:ser>
        <c:ser>
          <c:idx val="3"/>
          <c:order val="3"/>
          <c:tx>
            <c:strRef>
              <c:f>'3.Summary'!$M$15</c:f>
              <c:strCache>
                <c:ptCount val="1"/>
                <c:pt idx="0">
                  <c:v>Scenario E</c:v>
                </c:pt>
              </c:strCache>
            </c:strRef>
          </c:tx>
          <c:marker>
            <c:symbol val="none"/>
          </c:marker>
          <c:cat>
            <c:strRef>
              <c:f>'3.Summary'!$N$11:$V$11</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'3.Summary'!$N$15:$V$15</c:f>
              <c:numCache>
                <c:formatCode>0</c:formatCode>
                <c:ptCount val="9"/>
                <c:pt idx="0">
                  <c:v>-6.8420000000027983</c:v>
                </c:pt>
                <c:pt idx="1">
                  <c:v>-4.4527999999862118</c:v>
                </c:pt>
                <c:pt idx="2">
                  <c:v>-3.6938300000054198</c:v>
                </c:pt>
                <c:pt idx="3">
                  <c:v>-3.2604999999865356</c:v>
                </c:pt>
                <c:pt idx="4">
                  <c:v>-3.130500000012205</c:v>
                </c:pt>
                <c:pt idx="5">
                  <c:v>-3.8472000000148796</c:v>
                </c:pt>
                <c:pt idx="6">
                  <c:v>-1.6866000000117651</c:v>
                </c:pt>
                <c:pt idx="7">
                  <c:v>-1.6290999999700091</c:v>
                </c:pt>
                <c:pt idx="8">
                  <c:v>-1.518000000005884</c:v>
                </c:pt>
              </c:numCache>
            </c:numRef>
          </c:val>
          <c:smooth val="0"/>
        </c:ser>
        <c:dLbls>
          <c:showLegendKey val="0"/>
          <c:showVal val="0"/>
          <c:showCatName val="0"/>
          <c:showSerName val="0"/>
          <c:showPercent val="0"/>
          <c:showBubbleSize val="0"/>
        </c:dLbls>
        <c:marker val="1"/>
        <c:smooth val="0"/>
        <c:axId val="322651648"/>
        <c:axId val="322653184"/>
      </c:lineChart>
      <c:catAx>
        <c:axId val="322651648"/>
        <c:scaling>
          <c:orientation val="minMax"/>
        </c:scaling>
        <c:delete val="0"/>
        <c:axPos val="b"/>
        <c:majorTickMark val="none"/>
        <c:minorTickMark val="none"/>
        <c:tickLblPos val="nextTo"/>
        <c:crossAx val="322653184"/>
        <c:crosses val="autoZero"/>
        <c:auto val="1"/>
        <c:lblAlgn val="ctr"/>
        <c:lblOffset val="100"/>
        <c:noMultiLvlLbl val="0"/>
      </c:catAx>
      <c:valAx>
        <c:axId val="322653184"/>
        <c:scaling>
          <c:orientation val="minMax"/>
        </c:scaling>
        <c:delete val="0"/>
        <c:axPos val="l"/>
        <c:majorGridlines/>
        <c:title>
          <c:tx>
            <c:rich>
              <a:bodyPr/>
              <a:lstStyle/>
              <a:p>
                <a:pPr>
                  <a:defRPr/>
                </a:pPr>
                <a:r>
                  <a:rPr lang="en-AU"/>
                  <a:t>$million</a:t>
                </a:r>
              </a:p>
            </c:rich>
          </c:tx>
          <c:layout/>
          <c:overlay val="0"/>
        </c:title>
        <c:numFmt formatCode="0.0" sourceLinked="1"/>
        <c:majorTickMark val="none"/>
        <c:minorTickMark val="none"/>
        <c:tickLblPos val="nextTo"/>
        <c:crossAx val="32265164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a:pPr>
            <a:r>
              <a:rPr lang="en-AU"/>
              <a:t>NSW direct fiscal effect, cumulative</a:t>
            </a:r>
          </a:p>
        </c:rich>
      </c:tx>
      <c:layout/>
      <c:overlay val="0"/>
    </c:title>
    <c:autoTitleDeleted val="0"/>
    <c:plotArea>
      <c:layout/>
      <c:barChart>
        <c:barDir val="col"/>
        <c:grouping val="clustered"/>
        <c:varyColors val="0"/>
        <c:ser>
          <c:idx val="0"/>
          <c:order val="0"/>
          <c:invertIfNegative val="0"/>
          <c:dPt>
            <c:idx val="5"/>
            <c:invertIfNegative val="0"/>
            <c:bubble3D val="0"/>
            <c:spPr>
              <a:solidFill>
                <a:schemeClr val="accent2">
                  <a:lumMod val="75000"/>
                </a:schemeClr>
              </a:solidFill>
            </c:spPr>
          </c:dPt>
          <c:dPt>
            <c:idx val="6"/>
            <c:invertIfNegative val="0"/>
            <c:bubble3D val="0"/>
            <c:spPr>
              <a:solidFill>
                <a:schemeClr val="accent2">
                  <a:lumMod val="75000"/>
                </a:schemeClr>
              </a:solidFill>
            </c:spPr>
          </c:dPt>
          <c:dPt>
            <c:idx val="7"/>
            <c:invertIfNegative val="0"/>
            <c:bubble3D val="0"/>
            <c:spPr>
              <a:solidFill>
                <a:schemeClr val="accent2">
                  <a:lumMod val="75000"/>
                </a:schemeClr>
              </a:solidFill>
            </c:spPr>
          </c:dPt>
          <c:dPt>
            <c:idx val="8"/>
            <c:invertIfNegative val="0"/>
            <c:bubble3D val="0"/>
            <c:spPr>
              <a:solidFill>
                <a:schemeClr val="accent2">
                  <a:lumMod val="75000"/>
                </a:schemeClr>
              </a:solidFill>
            </c:spPr>
          </c:dPt>
          <c:cat>
            <c:strRef>
              <c:f>'6.ScenarioC'!$P$12:$X$12</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'6.ScenarioC'!$P$24:$X$24</c:f>
              <c:numCache>
                <c:formatCode>0</c:formatCode>
                <c:ptCount val="9"/>
                <c:pt idx="0">
                  <c:v>-15.888720431768489</c:v>
                </c:pt>
                <c:pt idx="1">
                  <c:v>-31.512869275513719</c:v>
                </c:pt>
                <c:pt idx="2">
                  <c:v>-47.370141600117257</c:v>
                </c:pt>
                <c:pt idx="3">
                  <c:v>-63.415024294954101</c:v>
                </c:pt>
                <c:pt idx="4">
                  <c:v>-79.727165303617994</c:v>
                </c:pt>
                <c:pt idx="5">
                  <c:v>-96.558692380948372</c:v>
                </c:pt>
                <c:pt idx="6">
                  <c:v>-114.10164861502638</c:v>
                </c:pt>
                <c:pt idx="7">
                  <c:v>-132.35772488314626</c:v>
                </c:pt>
                <c:pt idx="8">
                  <c:v>-151.33661718125182</c:v>
                </c:pt>
              </c:numCache>
            </c:numRef>
          </c:val>
        </c:ser>
        <c:dLbls>
          <c:showLegendKey val="0"/>
          <c:showVal val="0"/>
          <c:showCatName val="0"/>
          <c:showSerName val="0"/>
          <c:showPercent val="0"/>
          <c:showBubbleSize val="0"/>
        </c:dLbls>
        <c:gapWidth val="150"/>
        <c:axId val="336329728"/>
        <c:axId val="336405248"/>
      </c:barChart>
      <c:catAx>
        <c:axId val="336329728"/>
        <c:scaling>
          <c:orientation val="minMax"/>
        </c:scaling>
        <c:delete val="0"/>
        <c:axPos val="b"/>
        <c:majorTickMark val="none"/>
        <c:minorTickMark val="none"/>
        <c:tickLblPos val="low"/>
        <c:crossAx val="336405248"/>
        <c:crosses val="autoZero"/>
        <c:auto val="1"/>
        <c:lblAlgn val="ctr"/>
        <c:lblOffset val="100"/>
        <c:noMultiLvlLbl val="0"/>
      </c:catAx>
      <c:valAx>
        <c:axId val="336405248"/>
        <c:scaling>
          <c:orientation val="minMax"/>
        </c:scaling>
        <c:delete val="0"/>
        <c:axPos val="l"/>
        <c:majorGridlines/>
        <c:title>
          <c:tx>
            <c:rich>
              <a:bodyPr/>
              <a:lstStyle/>
              <a:p>
                <a:pPr>
                  <a:defRPr/>
                </a:pPr>
                <a:r>
                  <a:rPr lang="en-AU"/>
                  <a:t>$ million</a:t>
                </a:r>
              </a:p>
            </c:rich>
          </c:tx>
          <c:layout/>
          <c:overlay val="0"/>
        </c:title>
        <c:numFmt formatCode="0" sourceLinked="0"/>
        <c:majorTickMark val="none"/>
        <c:minorTickMark val="none"/>
        <c:tickLblPos val="nextTo"/>
        <c:crossAx val="336329728"/>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NSW GSP effect, cumulative</a:t>
            </a:r>
          </a:p>
        </c:rich>
      </c:tx>
      <c:layout/>
      <c:overlay val="0"/>
    </c:title>
    <c:autoTitleDeleted val="0"/>
    <c:plotArea>
      <c:layout/>
      <c:barChart>
        <c:barDir val="col"/>
        <c:grouping val="clustered"/>
        <c:varyColors val="0"/>
        <c:ser>
          <c:idx val="0"/>
          <c:order val="0"/>
          <c:invertIfNegative val="0"/>
          <c:cat>
            <c:strRef>
              <c:f>'6.ScenarioC'!$P$54:$X$54</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'6.ScenarioC'!$P$107:$X$107</c:f>
              <c:numCache>
                <c:formatCode>0</c:formatCode>
                <c:ptCount val="9"/>
                <c:pt idx="0">
                  <c:v>21.837328017223626</c:v>
                </c:pt>
                <c:pt idx="1">
                  <c:v>13.44038907927461</c:v>
                </c:pt>
                <c:pt idx="2">
                  <c:v>8.0384376920410432</c:v>
                </c:pt>
                <c:pt idx="3">
                  <c:v>4.5095469211228192</c:v>
                </c:pt>
                <c:pt idx="4">
                  <c:v>1.8615562820341438</c:v>
                </c:pt>
                <c:pt idx="5">
                  <c:v>-2.1654871561331674</c:v>
                </c:pt>
                <c:pt idx="6">
                  <c:v>-2.4973860887112096</c:v>
                </c:pt>
                <c:pt idx="7">
                  <c:v>-2.7311488518025726</c:v>
                </c:pt>
                <c:pt idx="8">
                  <c:v>-3.0333332088775933</c:v>
                </c:pt>
              </c:numCache>
            </c:numRef>
          </c:val>
        </c:ser>
        <c:dLbls>
          <c:showLegendKey val="0"/>
          <c:showVal val="0"/>
          <c:showCatName val="0"/>
          <c:showSerName val="0"/>
          <c:showPercent val="0"/>
          <c:showBubbleSize val="0"/>
        </c:dLbls>
        <c:gapWidth val="150"/>
        <c:axId val="336446976"/>
        <c:axId val="336448512"/>
      </c:barChart>
      <c:catAx>
        <c:axId val="336446976"/>
        <c:scaling>
          <c:orientation val="minMax"/>
        </c:scaling>
        <c:delete val="0"/>
        <c:axPos val="b"/>
        <c:majorTickMark val="none"/>
        <c:minorTickMark val="none"/>
        <c:tickLblPos val="low"/>
        <c:crossAx val="336448512"/>
        <c:crosses val="autoZero"/>
        <c:auto val="1"/>
        <c:lblAlgn val="ctr"/>
        <c:lblOffset val="100"/>
        <c:noMultiLvlLbl val="0"/>
      </c:catAx>
      <c:valAx>
        <c:axId val="336448512"/>
        <c:scaling>
          <c:orientation val="minMax"/>
        </c:scaling>
        <c:delete val="0"/>
        <c:axPos val="l"/>
        <c:majorGridlines/>
        <c:title>
          <c:tx>
            <c:rich>
              <a:bodyPr/>
              <a:lstStyle/>
              <a:p>
                <a:pPr>
                  <a:defRPr/>
                </a:pPr>
                <a:r>
                  <a:rPr lang="en-US"/>
                  <a:t>$ million</a:t>
                </a:r>
              </a:p>
            </c:rich>
          </c:tx>
          <c:layout/>
          <c:overlay val="0"/>
        </c:title>
        <c:numFmt formatCode="0" sourceLinked="1"/>
        <c:majorTickMark val="none"/>
        <c:minorTickMark val="none"/>
        <c:tickLblPos val="nextTo"/>
        <c:crossAx val="336446976"/>
        <c:crosses val="autoZero"/>
        <c:crossBetween val="between"/>
      </c:valAx>
    </c:plotArea>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NSW GSP effect, annual</a:t>
            </a:r>
          </a:p>
        </c:rich>
      </c:tx>
      <c:layout/>
      <c:overlay val="0"/>
    </c:title>
    <c:autoTitleDeleted val="0"/>
    <c:plotArea>
      <c:layout/>
      <c:barChart>
        <c:barDir val="col"/>
        <c:grouping val="clustered"/>
        <c:varyColors val="0"/>
        <c:ser>
          <c:idx val="0"/>
          <c:order val="0"/>
          <c:invertIfNegative val="0"/>
          <c:cat>
            <c:strRef>
              <c:f>'6.ScenarioC'!$P$12:$X$12</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'6.ScenarioC'!$P$108:$X$108</c:f>
              <c:numCache>
                <c:formatCode>0</c:formatCode>
                <c:ptCount val="9"/>
                <c:pt idx="0">
                  <c:v>21.837328017223626</c:v>
                </c:pt>
                <c:pt idx="1">
                  <c:v>-8.3969389379490167</c:v>
                </c:pt>
                <c:pt idx="2">
                  <c:v>-5.4019513872335665</c:v>
                </c:pt>
                <c:pt idx="3">
                  <c:v>-3.528890770918224</c:v>
                </c:pt>
                <c:pt idx="4">
                  <c:v>-2.6479906390886754</c:v>
                </c:pt>
                <c:pt idx="5">
                  <c:v>-4.0270434381673113</c:v>
                </c:pt>
                <c:pt idx="6">
                  <c:v>-0.33189893257804215</c:v>
                </c:pt>
                <c:pt idx="7">
                  <c:v>-0.23376276309136301</c:v>
                </c:pt>
                <c:pt idx="8">
                  <c:v>-0.30218435707502067</c:v>
                </c:pt>
              </c:numCache>
            </c:numRef>
          </c:val>
        </c:ser>
        <c:dLbls>
          <c:showLegendKey val="0"/>
          <c:showVal val="0"/>
          <c:showCatName val="0"/>
          <c:showSerName val="0"/>
          <c:showPercent val="0"/>
          <c:showBubbleSize val="0"/>
        </c:dLbls>
        <c:gapWidth val="150"/>
        <c:axId val="336456704"/>
        <c:axId val="336462592"/>
      </c:barChart>
      <c:catAx>
        <c:axId val="336456704"/>
        <c:scaling>
          <c:orientation val="minMax"/>
        </c:scaling>
        <c:delete val="0"/>
        <c:axPos val="b"/>
        <c:majorTickMark val="none"/>
        <c:minorTickMark val="none"/>
        <c:tickLblPos val="low"/>
        <c:crossAx val="336462592"/>
        <c:crosses val="autoZero"/>
        <c:auto val="1"/>
        <c:lblAlgn val="ctr"/>
        <c:lblOffset val="100"/>
        <c:noMultiLvlLbl val="0"/>
      </c:catAx>
      <c:valAx>
        <c:axId val="336462592"/>
        <c:scaling>
          <c:orientation val="minMax"/>
        </c:scaling>
        <c:delete val="0"/>
        <c:axPos val="l"/>
        <c:majorGridlines/>
        <c:title>
          <c:tx>
            <c:rich>
              <a:bodyPr/>
              <a:lstStyle/>
              <a:p>
                <a:pPr>
                  <a:defRPr/>
                </a:pPr>
                <a:r>
                  <a:rPr lang="en-US"/>
                  <a:t>$ million</a:t>
                </a:r>
              </a:p>
            </c:rich>
          </c:tx>
          <c:layout/>
          <c:overlay val="0"/>
        </c:title>
        <c:numFmt formatCode="0" sourceLinked="1"/>
        <c:majorTickMark val="none"/>
        <c:minorTickMark val="none"/>
        <c:tickLblPos val="nextTo"/>
        <c:crossAx val="3364567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Fiscal incentives, Cumulative</a:t>
            </a:r>
          </a:p>
        </c:rich>
      </c:tx>
      <c:layout/>
      <c:overlay val="0"/>
    </c:title>
    <c:autoTitleDeleted val="0"/>
    <c:plotArea>
      <c:layout>
        <c:manualLayout>
          <c:layoutTarget val="inner"/>
          <c:xMode val="edge"/>
          <c:yMode val="edge"/>
          <c:x val="9.6067005385794671E-2"/>
          <c:y val="0.16702573636628754"/>
          <c:w val="0.8815068987936141"/>
          <c:h val="0.71699438611840183"/>
        </c:manualLayout>
      </c:layout>
      <c:barChart>
        <c:barDir val="col"/>
        <c:grouping val="clustered"/>
        <c:varyColors val="0"/>
        <c:ser>
          <c:idx val="0"/>
          <c:order val="0"/>
          <c:invertIfNegative val="0"/>
          <c:dPt>
            <c:idx val="0"/>
            <c:invertIfNegative val="0"/>
            <c:bubble3D val="0"/>
            <c:spPr>
              <a:solidFill>
                <a:schemeClr val="accent6">
                  <a:lumMod val="75000"/>
                </a:schemeClr>
              </a:solidFill>
            </c:spPr>
          </c:dPt>
          <c:dPt>
            <c:idx val="1"/>
            <c:invertIfNegative val="0"/>
            <c:bubble3D val="0"/>
            <c:spPr>
              <a:solidFill>
                <a:schemeClr val="accent6">
                  <a:lumMod val="75000"/>
                </a:schemeClr>
              </a:solidFill>
            </c:spPr>
          </c:dPt>
          <c:dPt>
            <c:idx val="2"/>
            <c:invertIfNegative val="0"/>
            <c:bubble3D val="0"/>
            <c:spPr>
              <a:solidFill>
                <a:schemeClr val="accent6">
                  <a:lumMod val="75000"/>
                </a:schemeClr>
              </a:solidFill>
            </c:spPr>
          </c:dPt>
          <c:dPt>
            <c:idx val="3"/>
            <c:invertIfNegative val="0"/>
            <c:bubble3D val="0"/>
            <c:spPr>
              <a:solidFill>
                <a:schemeClr val="accent6">
                  <a:lumMod val="75000"/>
                </a:schemeClr>
              </a:solidFill>
            </c:spPr>
          </c:dPt>
          <c:dPt>
            <c:idx val="4"/>
            <c:invertIfNegative val="0"/>
            <c:bubble3D val="0"/>
            <c:spPr>
              <a:solidFill>
                <a:schemeClr val="accent6">
                  <a:lumMod val="75000"/>
                </a:schemeClr>
              </a:solidFill>
            </c:spPr>
          </c:dPt>
          <c:cat>
            <c:strRef>
              <c:f>'6.ScenarioC'!$P$12:$X$12</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('6.ScenarioC'!$P$18:$T$18,'6.ScenarioC'!$U$21:$X$21)</c:f>
              <c:numCache>
                <c:formatCode>0.0</c:formatCode>
                <c:ptCount val="9"/>
                <c:pt idx="0">
                  <c:v>15.888720431768489</c:v>
                </c:pt>
                <c:pt idx="1">
                  <c:v>31.512869275513719</c:v>
                </c:pt>
                <c:pt idx="2">
                  <c:v>47.370141600117257</c:v>
                </c:pt>
                <c:pt idx="3">
                  <c:v>63.415024294954101</c:v>
                </c:pt>
                <c:pt idx="4">
                  <c:v>79.727165303617994</c:v>
                </c:pt>
                <c:pt idx="5" formatCode="0">
                  <c:v>16.831527077330378</c:v>
                </c:pt>
                <c:pt idx="6" formatCode="0">
                  <c:v>34.374483311408383</c:v>
                </c:pt>
                <c:pt idx="7" formatCode="0">
                  <c:v>52.630559579528267</c:v>
                </c:pt>
                <c:pt idx="8" formatCode="0">
                  <c:v>71.60945187763383</c:v>
                </c:pt>
              </c:numCache>
            </c:numRef>
          </c:val>
        </c:ser>
        <c:dLbls>
          <c:showLegendKey val="0"/>
          <c:showVal val="0"/>
          <c:showCatName val="0"/>
          <c:showSerName val="0"/>
          <c:showPercent val="0"/>
          <c:showBubbleSize val="0"/>
        </c:dLbls>
        <c:gapWidth val="150"/>
        <c:axId val="336501376"/>
        <c:axId val="336503168"/>
      </c:barChart>
      <c:catAx>
        <c:axId val="336501376"/>
        <c:scaling>
          <c:orientation val="minMax"/>
        </c:scaling>
        <c:delete val="0"/>
        <c:axPos val="b"/>
        <c:majorTickMark val="none"/>
        <c:minorTickMark val="none"/>
        <c:tickLblPos val="low"/>
        <c:crossAx val="336503168"/>
        <c:crosses val="autoZero"/>
        <c:auto val="1"/>
        <c:lblAlgn val="ctr"/>
        <c:lblOffset val="100"/>
        <c:noMultiLvlLbl val="0"/>
      </c:catAx>
      <c:valAx>
        <c:axId val="336503168"/>
        <c:scaling>
          <c:orientation val="minMax"/>
        </c:scaling>
        <c:delete val="0"/>
        <c:axPos val="l"/>
        <c:majorGridlines/>
        <c:title>
          <c:tx>
            <c:rich>
              <a:bodyPr/>
              <a:lstStyle/>
              <a:p>
                <a:pPr>
                  <a:defRPr/>
                </a:pPr>
                <a:r>
                  <a:rPr lang="en-AU"/>
                  <a:t>$ million</a:t>
                </a:r>
              </a:p>
            </c:rich>
          </c:tx>
          <c:layout>
            <c:manualLayout>
              <c:xMode val="edge"/>
              <c:yMode val="edge"/>
              <c:x val="1.4271151885830785E-2"/>
              <c:y val="0.44213181685622632"/>
            </c:manualLayout>
          </c:layout>
          <c:overlay val="0"/>
        </c:title>
        <c:numFmt formatCode="0" sourceLinked="0"/>
        <c:majorTickMark val="none"/>
        <c:minorTickMark val="none"/>
        <c:tickLblPos val="nextTo"/>
        <c:crossAx val="336501376"/>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Fiscal incentives, annual</a:t>
            </a:r>
          </a:p>
        </c:rich>
      </c:tx>
      <c:layout/>
      <c:overlay val="0"/>
    </c:title>
    <c:autoTitleDeleted val="0"/>
    <c:plotArea>
      <c:layout>
        <c:manualLayout>
          <c:layoutTarget val="inner"/>
          <c:xMode val="edge"/>
          <c:yMode val="edge"/>
          <c:x val="9.6067005385794671E-2"/>
          <c:y val="0.16702573636628754"/>
          <c:w val="0.8815068987936141"/>
          <c:h val="0.71699438611840183"/>
        </c:manualLayout>
      </c:layout>
      <c:barChart>
        <c:barDir val="col"/>
        <c:grouping val="clustered"/>
        <c:varyColors val="0"/>
        <c:ser>
          <c:idx val="0"/>
          <c:order val="0"/>
          <c:invertIfNegative val="0"/>
          <c:dPt>
            <c:idx val="0"/>
            <c:invertIfNegative val="0"/>
            <c:bubble3D val="0"/>
            <c:spPr>
              <a:solidFill>
                <a:schemeClr val="accent6">
                  <a:lumMod val="75000"/>
                </a:schemeClr>
              </a:solidFill>
            </c:spPr>
          </c:dPt>
          <c:dPt>
            <c:idx val="1"/>
            <c:invertIfNegative val="0"/>
            <c:bubble3D val="0"/>
            <c:spPr>
              <a:solidFill>
                <a:schemeClr val="accent6">
                  <a:lumMod val="75000"/>
                </a:schemeClr>
              </a:solidFill>
            </c:spPr>
          </c:dPt>
          <c:dPt>
            <c:idx val="2"/>
            <c:invertIfNegative val="0"/>
            <c:bubble3D val="0"/>
            <c:spPr>
              <a:solidFill>
                <a:schemeClr val="accent6">
                  <a:lumMod val="75000"/>
                </a:schemeClr>
              </a:solidFill>
            </c:spPr>
          </c:dPt>
          <c:dPt>
            <c:idx val="3"/>
            <c:invertIfNegative val="0"/>
            <c:bubble3D val="0"/>
            <c:spPr>
              <a:solidFill>
                <a:schemeClr val="accent6">
                  <a:lumMod val="75000"/>
                </a:schemeClr>
              </a:solidFill>
            </c:spPr>
          </c:dPt>
          <c:dPt>
            <c:idx val="4"/>
            <c:invertIfNegative val="0"/>
            <c:bubble3D val="0"/>
            <c:spPr>
              <a:solidFill>
                <a:schemeClr val="accent6">
                  <a:lumMod val="75000"/>
                </a:schemeClr>
              </a:solidFill>
            </c:spPr>
          </c:dPt>
          <c:cat>
            <c:strRef>
              <c:f>'6.ScenarioC'!$P$12:$X$12</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('6.ScenarioC'!$P$17:$T$17,'6.ScenarioC'!$U$20:$X$20)</c:f>
              <c:numCache>
                <c:formatCode>0.0</c:formatCode>
                <c:ptCount val="9"/>
                <c:pt idx="0">
                  <c:v>15.888720431768489</c:v>
                </c:pt>
                <c:pt idx="1">
                  <c:v>15.62414884374523</c:v>
                </c:pt>
                <c:pt idx="2">
                  <c:v>15.857272324603537</c:v>
                </c:pt>
                <c:pt idx="3">
                  <c:v>16.044882694836843</c:v>
                </c:pt>
                <c:pt idx="4">
                  <c:v>16.312141008663897</c:v>
                </c:pt>
                <c:pt idx="5" formatCode="0">
                  <c:v>16.831527077330378</c:v>
                </c:pt>
                <c:pt idx="6" formatCode="0">
                  <c:v>17.542956234078002</c:v>
                </c:pt>
                <c:pt idx="7" formatCode="0">
                  <c:v>18.25607626811988</c:v>
                </c:pt>
                <c:pt idx="8" formatCode="0">
                  <c:v>18.97889229810556</c:v>
                </c:pt>
              </c:numCache>
            </c:numRef>
          </c:val>
        </c:ser>
        <c:dLbls>
          <c:showLegendKey val="0"/>
          <c:showVal val="0"/>
          <c:showCatName val="0"/>
          <c:showSerName val="0"/>
          <c:showPercent val="0"/>
          <c:showBubbleSize val="0"/>
        </c:dLbls>
        <c:gapWidth val="150"/>
        <c:axId val="336538624"/>
        <c:axId val="336544512"/>
      </c:barChart>
      <c:catAx>
        <c:axId val="336538624"/>
        <c:scaling>
          <c:orientation val="minMax"/>
        </c:scaling>
        <c:delete val="0"/>
        <c:axPos val="b"/>
        <c:majorTickMark val="none"/>
        <c:minorTickMark val="none"/>
        <c:tickLblPos val="low"/>
        <c:crossAx val="336544512"/>
        <c:crosses val="autoZero"/>
        <c:auto val="1"/>
        <c:lblAlgn val="ctr"/>
        <c:lblOffset val="100"/>
        <c:noMultiLvlLbl val="0"/>
      </c:catAx>
      <c:valAx>
        <c:axId val="336544512"/>
        <c:scaling>
          <c:orientation val="minMax"/>
        </c:scaling>
        <c:delete val="0"/>
        <c:axPos val="l"/>
        <c:majorGridlines/>
        <c:title>
          <c:tx>
            <c:rich>
              <a:bodyPr/>
              <a:lstStyle/>
              <a:p>
                <a:pPr>
                  <a:defRPr/>
                </a:pPr>
                <a:r>
                  <a:rPr lang="en-AU"/>
                  <a:t>$ million</a:t>
                </a:r>
              </a:p>
            </c:rich>
          </c:tx>
          <c:layout>
            <c:manualLayout>
              <c:xMode val="edge"/>
              <c:yMode val="edge"/>
              <c:x val="1.4271151885830785E-2"/>
              <c:y val="0.44213181685622632"/>
            </c:manualLayout>
          </c:layout>
          <c:overlay val="0"/>
        </c:title>
        <c:numFmt formatCode="0" sourceLinked="0"/>
        <c:majorTickMark val="none"/>
        <c:minorTickMark val="none"/>
        <c:tickLblPos val="nextTo"/>
        <c:crossAx val="336538624"/>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Industry gross value add, base case</a:t>
            </a:r>
          </a:p>
        </c:rich>
      </c:tx>
      <c:layout/>
      <c:overlay val="0"/>
    </c:title>
    <c:autoTitleDeleted val="0"/>
    <c:plotArea>
      <c:layout/>
      <c:barChart>
        <c:barDir val="col"/>
        <c:grouping val="stacked"/>
        <c:varyColors val="0"/>
        <c:ser>
          <c:idx val="0"/>
          <c:order val="0"/>
          <c:tx>
            <c:v>Thoroughbred industry</c:v>
          </c:tx>
          <c:invertIfNegative val="0"/>
          <c:dLbls>
            <c:dLbl>
              <c:idx val="8"/>
              <c:layout>
                <c:manualLayout>
                  <c:x val="-0.32169954476479523"/>
                  <c:y val="1.3888888888888888E-2"/>
                </c:manualLayout>
              </c:layout>
              <c:tx>
                <c:rich>
                  <a:bodyPr/>
                  <a:lstStyle/>
                  <a:p>
                    <a:r>
                      <a:rPr lang="en-US"/>
                      <a:t>Thoroughbred industry</a:t>
                    </a:r>
                  </a:p>
                </c:rich>
              </c:tx>
              <c:showLegendKey val="0"/>
              <c:showVal val="1"/>
              <c:showCatName val="0"/>
              <c:showSerName val="1"/>
              <c:showPercent val="0"/>
              <c:showBubbleSize val="0"/>
            </c:dLbl>
            <c:showLegendKey val="0"/>
            <c:showVal val="0"/>
            <c:showCatName val="0"/>
            <c:showSerName val="0"/>
            <c:showPercent val="0"/>
            <c:showBubbleSize val="0"/>
          </c:dLbls>
          <c:cat>
            <c:strRef>
              <c:f>'6.ScenarioC'!$P$54:$X$54</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'6.ScenarioC'!$P$46:$X$46</c:f>
              <c:numCache>
                <c:formatCode>0</c:formatCode>
                <c:ptCount val="9"/>
                <c:pt idx="0">
                  <c:v>612.06793433750715</c:v>
                </c:pt>
                <c:pt idx="1">
                  <c:v>616.03246862207254</c:v>
                </c:pt>
                <c:pt idx="2">
                  <c:v>621.80877733418504</c:v>
                </c:pt>
                <c:pt idx="3">
                  <c:v>627.66768218366542</c:v>
                </c:pt>
                <c:pt idx="4">
                  <c:v>633.59916169400901</c:v>
                </c:pt>
                <c:pt idx="5">
                  <c:v>639.59491441317448</c:v>
                </c:pt>
                <c:pt idx="6">
                  <c:v>645.64798650465889</c:v>
                </c:pt>
                <c:pt idx="7">
                  <c:v>651.7524949735905</c:v>
                </c:pt>
                <c:pt idx="8">
                  <c:v>657.90341849098695</c:v>
                </c:pt>
              </c:numCache>
            </c:numRef>
          </c:val>
        </c:ser>
        <c:ser>
          <c:idx val="1"/>
          <c:order val="1"/>
          <c:tx>
            <c:v>Greyhound industry</c:v>
          </c:tx>
          <c:invertIfNegative val="0"/>
          <c:dLbls>
            <c:dLbl>
              <c:idx val="8"/>
              <c:layout/>
              <c:tx>
                <c:rich>
                  <a:bodyPr/>
                  <a:lstStyle/>
                  <a:p>
                    <a:r>
                      <a:rPr lang="en-US"/>
                      <a:t>Greyhound industry</a:t>
                    </a:r>
                  </a:p>
                </c:rich>
              </c:tx>
              <c:showLegendKey val="0"/>
              <c:showVal val="1"/>
              <c:showCatName val="0"/>
              <c:showSerName val="1"/>
              <c:showPercent val="0"/>
              <c:showBubbleSize val="0"/>
            </c:dLbl>
            <c:showLegendKey val="0"/>
            <c:showVal val="0"/>
            <c:showCatName val="0"/>
            <c:showSerName val="0"/>
            <c:showPercent val="0"/>
            <c:showBubbleSize val="0"/>
          </c:dLbls>
          <c:cat>
            <c:strRef>
              <c:f>'6.ScenarioC'!$P$54:$X$54</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'6.ScenarioC'!$P$47:$X$47</c:f>
              <c:numCache>
                <c:formatCode>0</c:formatCode>
                <c:ptCount val="9"/>
                <c:pt idx="0">
                  <c:v>118.47211741088383</c:v>
                </c:pt>
                <c:pt idx="1">
                  <c:v>116.56066060723137</c:v>
                </c:pt>
                <c:pt idx="2">
                  <c:v>118.24491350417728</c:v>
                </c:pt>
                <c:pt idx="3">
                  <c:v>119.43573951916218</c:v>
                </c:pt>
                <c:pt idx="4">
                  <c:v>121.49006257757883</c:v>
                </c:pt>
                <c:pt idx="5">
                  <c:v>123.14347629440218</c:v>
                </c:pt>
                <c:pt idx="6">
                  <c:v>124.78918021619485</c:v>
                </c:pt>
                <c:pt idx="7">
                  <c:v>126.42524689419926</c:v>
                </c:pt>
                <c:pt idx="8">
                  <c:v>128.17262373795856</c:v>
                </c:pt>
              </c:numCache>
            </c:numRef>
          </c:val>
        </c:ser>
        <c:ser>
          <c:idx val="2"/>
          <c:order val="2"/>
          <c:tx>
            <c:v>Harness industry</c:v>
          </c:tx>
          <c:invertIfNegative val="0"/>
          <c:dLbls>
            <c:dLbl>
              <c:idx val="8"/>
              <c:layout>
                <c:manualLayout>
                  <c:x val="-0.70005058168942846"/>
                  <c:y val="-1.3888888888888888E-2"/>
                </c:manualLayout>
              </c:layout>
              <c:tx>
                <c:rich>
                  <a:bodyPr/>
                  <a:lstStyle/>
                  <a:p>
                    <a:r>
                      <a:rPr lang="en-US"/>
                      <a:t>Harness industry</a:t>
                    </a:r>
                  </a:p>
                </c:rich>
              </c:tx>
              <c:showLegendKey val="0"/>
              <c:showVal val="1"/>
              <c:showCatName val="0"/>
              <c:showSerName val="1"/>
              <c:showPercent val="0"/>
              <c:showBubbleSize val="0"/>
            </c:dLbl>
            <c:showLegendKey val="0"/>
            <c:showVal val="0"/>
            <c:showCatName val="0"/>
            <c:showSerName val="0"/>
            <c:showPercent val="0"/>
            <c:showBubbleSize val="0"/>
          </c:dLbls>
          <c:cat>
            <c:strRef>
              <c:f>'6.ScenarioC'!$P$54:$X$54</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'6.ScenarioC'!$P$48:$X$48</c:f>
              <c:numCache>
                <c:formatCode>0</c:formatCode>
                <c:ptCount val="9"/>
                <c:pt idx="0">
                  <c:v>13.073272020963341</c:v>
                </c:pt>
                <c:pt idx="1">
                  <c:v>12.914602447564663</c:v>
                </c:pt>
                <c:pt idx="2">
                  <c:v>12.755932874165985</c:v>
                </c:pt>
                <c:pt idx="3">
                  <c:v>12.59726330076731</c:v>
                </c:pt>
                <c:pt idx="4">
                  <c:v>12.438593727368628</c:v>
                </c:pt>
                <c:pt idx="5">
                  <c:v>12.279924153969953</c:v>
                </c:pt>
                <c:pt idx="6">
                  <c:v>12.121254580571275</c:v>
                </c:pt>
                <c:pt idx="7">
                  <c:v>11.962585007172597</c:v>
                </c:pt>
                <c:pt idx="8">
                  <c:v>11.80391543377392</c:v>
                </c:pt>
              </c:numCache>
            </c:numRef>
          </c:val>
        </c:ser>
        <c:dLbls>
          <c:showLegendKey val="0"/>
          <c:showVal val="1"/>
          <c:showCatName val="0"/>
          <c:showSerName val="0"/>
          <c:showPercent val="0"/>
          <c:showBubbleSize val="0"/>
        </c:dLbls>
        <c:gapWidth val="55"/>
        <c:overlap val="100"/>
        <c:axId val="336667392"/>
        <c:axId val="336668928"/>
      </c:barChart>
      <c:catAx>
        <c:axId val="336667392"/>
        <c:scaling>
          <c:orientation val="minMax"/>
        </c:scaling>
        <c:delete val="0"/>
        <c:axPos val="b"/>
        <c:majorTickMark val="none"/>
        <c:minorTickMark val="none"/>
        <c:tickLblPos val="nextTo"/>
        <c:crossAx val="336668928"/>
        <c:crosses val="autoZero"/>
        <c:auto val="1"/>
        <c:lblAlgn val="ctr"/>
        <c:lblOffset val="100"/>
        <c:noMultiLvlLbl val="0"/>
      </c:catAx>
      <c:valAx>
        <c:axId val="336668928"/>
        <c:scaling>
          <c:orientation val="minMax"/>
        </c:scaling>
        <c:delete val="0"/>
        <c:axPos val="l"/>
        <c:majorGridlines/>
        <c:title>
          <c:tx>
            <c:rich>
              <a:bodyPr/>
              <a:lstStyle/>
              <a:p>
                <a:pPr>
                  <a:defRPr/>
                </a:pPr>
                <a:r>
                  <a:rPr lang="en-AU"/>
                  <a:t>$ million</a:t>
                </a:r>
              </a:p>
            </c:rich>
          </c:tx>
          <c:layout/>
          <c:overlay val="0"/>
        </c:title>
        <c:numFmt formatCode="0" sourceLinked="1"/>
        <c:majorTickMark val="none"/>
        <c:minorTickMark val="none"/>
        <c:tickLblPos val="nextTo"/>
        <c:crossAx val="336667392"/>
        <c:crosses val="autoZero"/>
        <c:crossBetween val="between"/>
      </c:valAx>
    </c:plotArea>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Effect on industry gross value add, deviation from base case</a:t>
            </a:r>
          </a:p>
        </c:rich>
      </c:tx>
      <c:layout/>
      <c:overlay val="0"/>
    </c:title>
    <c:autoTitleDeleted val="0"/>
    <c:plotArea>
      <c:layout/>
      <c:barChart>
        <c:barDir val="col"/>
        <c:grouping val="stacked"/>
        <c:varyColors val="0"/>
        <c:ser>
          <c:idx val="0"/>
          <c:order val="0"/>
          <c:tx>
            <c:v>Thoroughbred</c:v>
          </c:tx>
          <c:invertIfNegative val="0"/>
          <c:cat>
            <c:strRef>
              <c:f>'6.ScenarioC'!$P$54:$X$54</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'6.ScenarioC'!$P$101:$X$101</c:f>
              <c:numCache>
                <c:formatCode>0</c:formatCode>
                <c:ptCount val="9"/>
                <c:pt idx="0">
                  <c:v>0.44072316161577874</c:v>
                </c:pt>
                <c:pt idx="1">
                  <c:v>0.45105604779564601</c:v>
                </c:pt>
                <c:pt idx="2">
                  <c:v>0.46457560151918642</c:v>
                </c:pt>
                <c:pt idx="3">
                  <c:v>0.47531827379532388</c:v>
                </c:pt>
                <c:pt idx="4">
                  <c:v>0.49026646598485968</c:v>
                </c:pt>
                <c:pt idx="5">
                  <c:v>0.51074068504840398</c:v>
                </c:pt>
                <c:pt idx="6">
                  <c:v>0.52612871059898225</c:v>
                </c:pt>
                <c:pt idx="7">
                  <c:v>0.54094524789195475</c:v>
                </c:pt>
                <c:pt idx="8">
                  <c:v>0.55540021562296715</c:v>
                </c:pt>
              </c:numCache>
            </c:numRef>
          </c:val>
        </c:ser>
        <c:ser>
          <c:idx val="1"/>
          <c:order val="1"/>
          <c:tx>
            <c:v>Greyhound</c:v>
          </c:tx>
          <c:invertIfNegative val="0"/>
          <c:cat>
            <c:strRef>
              <c:f>'6.ScenarioC'!$P$54:$X$54</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'6.ScenarioC'!$P$102:$X$102</c:f>
              <c:numCache>
                <c:formatCode>0</c:formatCode>
                <c:ptCount val="9"/>
                <c:pt idx="0">
                  <c:v>3.7461468737345029</c:v>
                </c:pt>
                <c:pt idx="1">
                  <c:v>3.8339764062629911</c:v>
                </c:pt>
                <c:pt idx="2">
                  <c:v>3.9488926129132835</c:v>
                </c:pt>
                <c:pt idx="3">
                  <c:v>4.0402053272604519</c:v>
                </c:pt>
                <c:pt idx="4">
                  <c:v>4.1672649608713073</c:v>
                </c:pt>
                <c:pt idx="5">
                  <c:v>3.0644441102904239</c:v>
                </c:pt>
                <c:pt idx="6">
                  <c:v>3.1567722635940356</c:v>
                </c:pt>
                <c:pt idx="7">
                  <c:v>3.2456714873518706</c:v>
                </c:pt>
                <c:pt idx="8">
                  <c:v>3.3324012937380871</c:v>
                </c:pt>
              </c:numCache>
            </c:numRef>
          </c:val>
        </c:ser>
        <c:ser>
          <c:idx val="2"/>
          <c:order val="2"/>
          <c:tx>
            <c:v>Harness</c:v>
          </c:tx>
          <c:invertIfNegative val="0"/>
          <c:cat>
            <c:strRef>
              <c:f>'6.ScenarioC'!$P$54:$X$54</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'6.ScenarioC'!$P$103:$X$103</c:f>
              <c:numCache>
                <c:formatCode>0</c:formatCode>
                <c:ptCount val="9"/>
                <c:pt idx="0">
                  <c:v>0.22036158080791246</c:v>
                </c:pt>
                <c:pt idx="1">
                  <c:v>0.225528023897823</c:v>
                </c:pt>
                <c:pt idx="2">
                  <c:v>0.23228780075960387</c:v>
                </c:pt>
                <c:pt idx="3">
                  <c:v>0.2376591368976726</c:v>
                </c:pt>
                <c:pt idx="4">
                  <c:v>0.24513323299242984</c:v>
                </c:pt>
                <c:pt idx="5">
                  <c:v>0.51074068504840398</c:v>
                </c:pt>
                <c:pt idx="6">
                  <c:v>0.52612871059900534</c:v>
                </c:pt>
                <c:pt idx="7">
                  <c:v>0.54094524789197784</c:v>
                </c:pt>
                <c:pt idx="8">
                  <c:v>0.55540021562301334</c:v>
                </c:pt>
              </c:numCache>
            </c:numRef>
          </c:val>
        </c:ser>
        <c:dLbls>
          <c:showLegendKey val="0"/>
          <c:showVal val="0"/>
          <c:showCatName val="0"/>
          <c:showSerName val="0"/>
          <c:showPercent val="0"/>
          <c:showBubbleSize val="0"/>
        </c:dLbls>
        <c:gapWidth val="95"/>
        <c:overlap val="100"/>
        <c:axId val="336699392"/>
        <c:axId val="336700928"/>
      </c:barChart>
      <c:catAx>
        <c:axId val="336699392"/>
        <c:scaling>
          <c:orientation val="minMax"/>
        </c:scaling>
        <c:delete val="0"/>
        <c:axPos val="b"/>
        <c:majorTickMark val="none"/>
        <c:minorTickMark val="none"/>
        <c:tickLblPos val="nextTo"/>
        <c:crossAx val="336700928"/>
        <c:crosses val="autoZero"/>
        <c:auto val="1"/>
        <c:lblAlgn val="ctr"/>
        <c:lblOffset val="100"/>
        <c:noMultiLvlLbl val="0"/>
      </c:catAx>
      <c:valAx>
        <c:axId val="336700928"/>
        <c:scaling>
          <c:orientation val="minMax"/>
        </c:scaling>
        <c:delete val="0"/>
        <c:axPos val="l"/>
        <c:majorGridlines/>
        <c:title>
          <c:tx>
            <c:rich>
              <a:bodyPr/>
              <a:lstStyle/>
              <a:p>
                <a:pPr>
                  <a:defRPr/>
                </a:pPr>
                <a:r>
                  <a:rPr lang="en-AU"/>
                  <a:t>$ million</a:t>
                </a:r>
              </a:p>
            </c:rich>
          </c:tx>
          <c:layout>
            <c:manualLayout>
              <c:xMode val="edge"/>
              <c:yMode val="edge"/>
              <c:x val="8.1424936386768454E-2"/>
              <c:y val="0.3817348352289297"/>
            </c:manualLayout>
          </c:layout>
          <c:overlay val="0"/>
        </c:title>
        <c:numFmt formatCode="0" sourceLinked="1"/>
        <c:majorTickMark val="none"/>
        <c:minorTickMark val="none"/>
        <c:tickLblPos val="nextTo"/>
        <c:crossAx val="336699392"/>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Industry employment, base case</a:t>
            </a:r>
          </a:p>
        </c:rich>
      </c:tx>
      <c:layout/>
      <c:overlay val="0"/>
    </c:title>
    <c:autoTitleDeleted val="0"/>
    <c:plotArea>
      <c:layout/>
      <c:barChart>
        <c:barDir val="col"/>
        <c:grouping val="stacked"/>
        <c:varyColors val="0"/>
        <c:ser>
          <c:idx val="0"/>
          <c:order val="0"/>
          <c:tx>
            <c:v>Thoroughbred industry</c:v>
          </c:tx>
          <c:invertIfNegative val="0"/>
          <c:dLbls>
            <c:dLbl>
              <c:idx val="8"/>
              <c:layout>
                <c:manualLayout>
                  <c:x val="-0.32169954476479523"/>
                  <c:y val="1.3888888888888888E-2"/>
                </c:manualLayout>
              </c:layout>
              <c:tx>
                <c:rich>
                  <a:bodyPr/>
                  <a:lstStyle/>
                  <a:p>
                    <a:r>
                      <a:rPr lang="en-US"/>
                      <a:t>Thoroughbred industry</a:t>
                    </a:r>
                  </a:p>
                </c:rich>
              </c:tx>
              <c:showLegendKey val="0"/>
              <c:showVal val="1"/>
              <c:showCatName val="0"/>
              <c:showSerName val="1"/>
              <c:showPercent val="0"/>
              <c:showBubbleSize val="0"/>
            </c:dLbl>
            <c:showLegendKey val="0"/>
            <c:showVal val="0"/>
            <c:showCatName val="0"/>
            <c:showSerName val="0"/>
            <c:showPercent val="0"/>
            <c:showBubbleSize val="0"/>
          </c:dLbls>
          <c:cat>
            <c:strRef>
              <c:f>'6.ScenarioC'!$P$54:$X$54</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'6.ScenarioC'!$P$40:$X$40</c:f>
              <c:numCache>
                <c:formatCode>0</c:formatCode>
                <c:ptCount val="9"/>
                <c:pt idx="0">
                  <c:v>5100.5799258214756</c:v>
                </c:pt>
                <c:pt idx="1">
                  <c:v>5133.6178009537061</c:v>
                </c:pt>
                <c:pt idx="2">
                  <c:v>5181.7538371834735</c:v>
                </c:pt>
                <c:pt idx="3">
                  <c:v>5230.5781764210833</c:v>
                </c:pt>
                <c:pt idx="4">
                  <c:v>5280.0073061362782</c:v>
                </c:pt>
                <c:pt idx="5">
                  <c:v>5329.9720473747921</c:v>
                </c:pt>
                <c:pt idx="6">
                  <c:v>5380.4144513422425</c:v>
                </c:pt>
                <c:pt idx="7">
                  <c:v>5431.2854929486639</c:v>
                </c:pt>
                <c:pt idx="8">
                  <c:v>5482.5433276726044</c:v>
                </c:pt>
              </c:numCache>
            </c:numRef>
          </c:val>
        </c:ser>
        <c:ser>
          <c:idx val="1"/>
          <c:order val="1"/>
          <c:tx>
            <c:v>Greyhound industry</c:v>
          </c:tx>
          <c:invertIfNegative val="0"/>
          <c:dLbls>
            <c:dLbl>
              <c:idx val="8"/>
              <c:layout/>
              <c:tx>
                <c:rich>
                  <a:bodyPr/>
                  <a:lstStyle/>
                  <a:p>
                    <a:r>
                      <a:rPr lang="en-US"/>
                      <a:t>Greyhound industry</a:t>
                    </a:r>
                  </a:p>
                </c:rich>
              </c:tx>
              <c:showLegendKey val="0"/>
              <c:showVal val="1"/>
              <c:showCatName val="0"/>
              <c:showSerName val="1"/>
              <c:showPercent val="0"/>
              <c:showBubbleSize val="0"/>
            </c:dLbl>
            <c:showLegendKey val="0"/>
            <c:showVal val="0"/>
            <c:showCatName val="0"/>
            <c:showSerName val="0"/>
            <c:showPercent val="0"/>
            <c:showBubbleSize val="0"/>
          </c:dLbls>
          <c:cat>
            <c:strRef>
              <c:f>'6.ScenarioC'!$P$54:$X$54</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'6.ScenarioC'!$P$41:$X$41</c:f>
              <c:numCache>
                <c:formatCode>0</c:formatCode>
                <c:ptCount val="9"/>
                <c:pt idx="0">
                  <c:v>987.26764509069869</c:v>
                </c:pt>
                <c:pt idx="1">
                  <c:v>971.33883839359476</c:v>
                </c:pt>
                <c:pt idx="2">
                  <c:v>985.37427920147741</c:v>
                </c:pt>
                <c:pt idx="3">
                  <c:v>995.29782932635158</c:v>
                </c:pt>
                <c:pt idx="4">
                  <c:v>1012.4171881464903</c:v>
                </c:pt>
                <c:pt idx="5">
                  <c:v>1026.1956357866848</c:v>
                </c:pt>
                <c:pt idx="6">
                  <c:v>1039.9098351349571</c:v>
                </c:pt>
                <c:pt idx="7">
                  <c:v>1053.5437241183272</c:v>
                </c:pt>
                <c:pt idx="8">
                  <c:v>1068.1051978163214</c:v>
                </c:pt>
              </c:numCache>
            </c:numRef>
          </c:val>
        </c:ser>
        <c:ser>
          <c:idx val="2"/>
          <c:order val="2"/>
          <c:tx>
            <c:v>Harness industry</c:v>
          </c:tx>
          <c:invertIfNegative val="0"/>
          <c:dLbls>
            <c:dLbl>
              <c:idx val="8"/>
              <c:layout>
                <c:manualLayout>
                  <c:x val="-0.70005058168942846"/>
                  <c:y val="-1.3888888888888888E-2"/>
                </c:manualLayout>
              </c:layout>
              <c:tx>
                <c:rich>
                  <a:bodyPr/>
                  <a:lstStyle/>
                  <a:p>
                    <a:r>
                      <a:rPr lang="en-US"/>
                      <a:t>Harness industry</a:t>
                    </a:r>
                  </a:p>
                </c:rich>
              </c:tx>
              <c:showLegendKey val="0"/>
              <c:showVal val="1"/>
              <c:showCatName val="0"/>
              <c:showSerName val="1"/>
              <c:showPercent val="0"/>
              <c:showBubbleSize val="0"/>
            </c:dLbl>
            <c:showLegendKey val="0"/>
            <c:showVal val="0"/>
            <c:showCatName val="0"/>
            <c:showSerName val="0"/>
            <c:showPercent val="0"/>
            <c:showBubbleSize val="0"/>
          </c:dLbls>
          <c:cat>
            <c:strRef>
              <c:f>'6.ScenarioC'!$P$54:$X$54</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'6.ScenarioC'!$P$42:$X$42</c:f>
              <c:numCache>
                <c:formatCode>0</c:formatCode>
                <c:ptCount val="9"/>
                <c:pt idx="0">
                  <c:v>110.88624280863139</c:v>
                </c:pt>
                <c:pt idx="1">
                  <c:v>109.54042266398704</c:v>
                </c:pt>
                <c:pt idx="2">
                  <c:v>108.19460251934269</c:v>
                </c:pt>
                <c:pt idx="3">
                  <c:v>106.84878237469836</c:v>
                </c:pt>
                <c:pt idx="4">
                  <c:v>105.502962230054</c:v>
                </c:pt>
                <c:pt idx="5">
                  <c:v>104.15714208540967</c:v>
                </c:pt>
                <c:pt idx="6">
                  <c:v>102.81132194076534</c:v>
                </c:pt>
                <c:pt idx="7">
                  <c:v>101.46550179612099</c:v>
                </c:pt>
                <c:pt idx="8">
                  <c:v>100.11968165147665</c:v>
                </c:pt>
              </c:numCache>
            </c:numRef>
          </c:val>
        </c:ser>
        <c:dLbls>
          <c:showLegendKey val="0"/>
          <c:showVal val="1"/>
          <c:showCatName val="0"/>
          <c:showSerName val="0"/>
          <c:showPercent val="0"/>
          <c:showBubbleSize val="0"/>
        </c:dLbls>
        <c:gapWidth val="55"/>
        <c:overlap val="100"/>
        <c:axId val="336763136"/>
        <c:axId val="336777216"/>
      </c:barChart>
      <c:catAx>
        <c:axId val="336763136"/>
        <c:scaling>
          <c:orientation val="minMax"/>
        </c:scaling>
        <c:delete val="0"/>
        <c:axPos val="b"/>
        <c:majorTickMark val="none"/>
        <c:minorTickMark val="none"/>
        <c:tickLblPos val="nextTo"/>
        <c:crossAx val="336777216"/>
        <c:crosses val="autoZero"/>
        <c:auto val="1"/>
        <c:lblAlgn val="ctr"/>
        <c:lblOffset val="100"/>
        <c:noMultiLvlLbl val="0"/>
      </c:catAx>
      <c:valAx>
        <c:axId val="336777216"/>
        <c:scaling>
          <c:orientation val="minMax"/>
        </c:scaling>
        <c:delete val="0"/>
        <c:axPos val="l"/>
        <c:majorGridlines/>
        <c:title>
          <c:tx>
            <c:rich>
              <a:bodyPr/>
              <a:lstStyle/>
              <a:p>
                <a:pPr>
                  <a:defRPr/>
                </a:pPr>
                <a:r>
                  <a:rPr lang="en-US"/>
                  <a:t>Persons</a:t>
                </a:r>
              </a:p>
            </c:rich>
          </c:tx>
          <c:layout/>
          <c:overlay val="0"/>
        </c:title>
        <c:numFmt formatCode="0" sourceLinked="1"/>
        <c:majorTickMark val="none"/>
        <c:minorTickMark val="none"/>
        <c:tickLblPos val="nextTo"/>
        <c:crossAx val="336763136"/>
        <c:crosses val="autoZero"/>
        <c:crossBetween val="between"/>
      </c:valAx>
    </c:plotArea>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solidFill>
                  <a:schemeClr val="accent2">
                    <a:lumMod val="75000"/>
                  </a:schemeClr>
                </a:solidFill>
              </a:defRPr>
            </a:pPr>
            <a:r>
              <a:rPr lang="en-AU" sz="1050">
                <a:solidFill>
                  <a:schemeClr val="accent2">
                    <a:lumMod val="75000"/>
                  </a:schemeClr>
                </a:solidFill>
              </a:rPr>
              <a:t>Effect on industry employment, deviation from base case</a:t>
            </a:r>
          </a:p>
        </c:rich>
      </c:tx>
      <c:layout>
        <c:manualLayout>
          <c:xMode val="edge"/>
          <c:yMode val="edge"/>
          <c:x val="0.28631540141451789"/>
          <c:y val="3.2407407407407406E-2"/>
        </c:manualLayout>
      </c:layout>
      <c:overlay val="0"/>
    </c:title>
    <c:autoTitleDeleted val="0"/>
    <c:plotArea>
      <c:layout/>
      <c:barChart>
        <c:barDir val="col"/>
        <c:grouping val="stacked"/>
        <c:varyColors val="0"/>
        <c:ser>
          <c:idx val="0"/>
          <c:order val="0"/>
          <c:tx>
            <c:v>Thoroughbred</c:v>
          </c:tx>
          <c:invertIfNegative val="0"/>
          <c:cat>
            <c:strRef>
              <c:f>'6.ScenarioC'!$P$54:$X$54</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'6.ScenarioC'!$P$95:$X$95</c:f>
              <c:numCache>
                <c:formatCode>0</c:formatCode>
                <c:ptCount val="9"/>
                <c:pt idx="0">
                  <c:v>16.463441045993932</c:v>
                </c:pt>
                <c:pt idx="1">
                  <c:v>16.199137881073511</c:v>
                </c:pt>
                <c:pt idx="2">
                  <c:v>16.123295236894592</c:v>
                </c:pt>
                <c:pt idx="3">
                  <c:v>15.98033333127114</c:v>
                </c:pt>
                <c:pt idx="4">
                  <c:v>16.177105030948951</c:v>
                </c:pt>
                <c:pt idx="5">
                  <c:v>17.301955880529022</c:v>
                </c:pt>
                <c:pt idx="6">
                  <c:v>17.254548243869067</c:v>
                </c:pt>
                <c:pt idx="7">
                  <c:v>17.242589747124839</c:v>
                </c:pt>
                <c:pt idx="8">
                  <c:v>17.266027215543545</c:v>
                </c:pt>
              </c:numCache>
            </c:numRef>
          </c:val>
        </c:ser>
        <c:ser>
          <c:idx val="1"/>
          <c:order val="1"/>
          <c:tx>
            <c:v>Greyhound</c:v>
          </c:tx>
          <c:invertIfNegative val="0"/>
          <c:cat>
            <c:strRef>
              <c:f>'6.ScenarioC'!$P$54:$X$54</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'6.ScenarioC'!$P$96:$X$96</c:f>
              <c:numCache>
                <c:formatCode>0</c:formatCode>
                <c:ptCount val="9"/>
                <c:pt idx="0">
                  <c:v>139.93924889094831</c:v>
                </c:pt>
                <c:pt idx="1">
                  <c:v>137.69267198912883</c:v>
                </c:pt>
                <c:pt idx="2">
                  <c:v>137.04800951360573</c:v>
                </c:pt>
                <c:pt idx="3">
                  <c:v>135.83283331580265</c:v>
                </c:pt>
                <c:pt idx="4">
                  <c:v>137.50539276306029</c:v>
                </c:pt>
                <c:pt idx="5">
                  <c:v>103.81173528317618</c:v>
                </c:pt>
                <c:pt idx="6">
                  <c:v>103.52728946321577</c:v>
                </c:pt>
                <c:pt idx="7">
                  <c:v>103.45553848274562</c:v>
                </c:pt>
                <c:pt idx="8">
                  <c:v>103.596163293264</c:v>
                </c:pt>
              </c:numCache>
            </c:numRef>
          </c:val>
        </c:ser>
        <c:ser>
          <c:idx val="2"/>
          <c:order val="2"/>
          <c:tx>
            <c:v>Harness</c:v>
          </c:tx>
          <c:invertIfNegative val="0"/>
          <c:cat>
            <c:strRef>
              <c:f>'6.ScenarioC'!$P$54:$X$54</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'6.ScenarioC'!$P$97:$X$97</c:f>
              <c:numCache>
                <c:formatCode>0</c:formatCode>
                <c:ptCount val="9"/>
                <c:pt idx="0">
                  <c:v>8.2317205229969659</c:v>
                </c:pt>
                <c:pt idx="1">
                  <c:v>8.0995689405369831</c:v>
                </c:pt>
                <c:pt idx="2">
                  <c:v>8.0616476184474095</c:v>
                </c:pt>
                <c:pt idx="3">
                  <c:v>7.9901666656354564</c:v>
                </c:pt>
                <c:pt idx="4">
                  <c:v>8.0885525154741345</c:v>
                </c:pt>
                <c:pt idx="5">
                  <c:v>17.301955880529363</c:v>
                </c:pt>
                <c:pt idx="6">
                  <c:v>17.254548243869294</c:v>
                </c:pt>
                <c:pt idx="7">
                  <c:v>17.242589747124271</c:v>
                </c:pt>
                <c:pt idx="8">
                  <c:v>17.266027215544</c:v>
                </c:pt>
              </c:numCache>
            </c:numRef>
          </c:val>
        </c:ser>
        <c:dLbls>
          <c:showLegendKey val="0"/>
          <c:showVal val="0"/>
          <c:showCatName val="0"/>
          <c:showSerName val="0"/>
          <c:showPercent val="0"/>
          <c:showBubbleSize val="0"/>
        </c:dLbls>
        <c:gapWidth val="95"/>
        <c:overlap val="100"/>
        <c:axId val="336803328"/>
        <c:axId val="336804864"/>
      </c:barChart>
      <c:catAx>
        <c:axId val="336803328"/>
        <c:scaling>
          <c:orientation val="minMax"/>
        </c:scaling>
        <c:delete val="0"/>
        <c:axPos val="b"/>
        <c:majorTickMark val="none"/>
        <c:minorTickMark val="none"/>
        <c:tickLblPos val="nextTo"/>
        <c:crossAx val="336804864"/>
        <c:crosses val="autoZero"/>
        <c:auto val="1"/>
        <c:lblAlgn val="ctr"/>
        <c:lblOffset val="100"/>
        <c:noMultiLvlLbl val="0"/>
      </c:catAx>
      <c:valAx>
        <c:axId val="336804864"/>
        <c:scaling>
          <c:orientation val="minMax"/>
        </c:scaling>
        <c:delete val="0"/>
        <c:axPos val="l"/>
        <c:majorGridlines/>
        <c:title>
          <c:tx>
            <c:rich>
              <a:bodyPr/>
              <a:lstStyle/>
              <a:p>
                <a:pPr>
                  <a:defRPr/>
                </a:pPr>
                <a:r>
                  <a:rPr lang="en-AU"/>
                  <a:t>Persons</a:t>
                </a:r>
              </a:p>
            </c:rich>
          </c:tx>
          <c:layout>
            <c:manualLayout>
              <c:xMode val="edge"/>
              <c:yMode val="edge"/>
              <c:x val="3.2569974554707379E-2"/>
              <c:y val="0.3817348352289297"/>
            </c:manualLayout>
          </c:layout>
          <c:overlay val="0"/>
        </c:title>
        <c:numFmt formatCode="0" sourceLinked="1"/>
        <c:majorTickMark val="none"/>
        <c:minorTickMark val="none"/>
        <c:tickLblPos val="nextTo"/>
        <c:crossAx val="33680332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Net levy effect </a:t>
            </a:r>
          </a:p>
        </c:rich>
      </c:tx>
      <c:layout>
        <c:manualLayout>
          <c:xMode val="edge"/>
          <c:yMode val="edge"/>
          <c:x val="0.52551627675754009"/>
          <c:y val="2.7777777777777776E-2"/>
        </c:manualLayout>
      </c:layout>
      <c:overlay val="0"/>
    </c:title>
    <c:autoTitleDeleted val="0"/>
    <c:plotArea>
      <c:layout>
        <c:manualLayout>
          <c:layoutTarget val="inner"/>
          <c:xMode val="edge"/>
          <c:yMode val="edge"/>
          <c:x val="0.30606741573033708"/>
          <c:y val="0.19480351414406533"/>
          <c:w val="0.69393258426966287"/>
          <c:h val="0.52571340040828229"/>
        </c:manualLayout>
      </c:layout>
      <c:barChart>
        <c:barDir val="col"/>
        <c:grouping val="clustered"/>
        <c:varyColors val="0"/>
        <c:ser>
          <c:idx val="0"/>
          <c:order val="0"/>
          <c:tx>
            <c:v>Net tax effect (incl, NSW and Commonwealth)</c:v>
          </c:tx>
          <c:invertIfNegative val="0"/>
          <c:cat>
            <c:strRef>
              <c:f>'3.Summary'!$C$11:$K$11</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'3.Summary'!$C$14:$K$14</c:f>
              <c:numCache>
                <c:formatCode>0.0</c:formatCode>
                <c:ptCount val="9"/>
                <c:pt idx="0">
                  <c:v>0.36820000000201958</c:v>
                </c:pt>
                <c:pt idx="1">
                  <c:v>2.4866000000047137</c:v>
                </c:pt>
                <c:pt idx="2">
                  <c:v>4.6748599999898488</c:v>
                </c:pt>
                <c:pt idx="3">
                  <c:v>7.2746599999807415</c:v>
                </c:pt>
                <c:pt idx="4">
                  <c:v>9.5668599999676189</c:v>
                </c:pt>
                <c:pt idx="5">
                  <c:v>11.144659999960652</c:v>
                </c:pt>
                <c:pt idx="6">
                  <c:v>12.424959999956684</c:v>
                </c:pt>
                <c:pt idx="7">
                  <c:v>14.012959999976999</c:v>
                </c:pt>
                <c:pt idx="8">
                  <c:v>15.597259999980537</c:v>
                </c:pt>
              </c:numCache>
            </c:numRef>
          </c:val>
        </c:ser>
        <c:dLbls>
          <c:showLegendKey val="0"/>
          <c:showVal val="0"/>
          <c:showCatName val="0"/>
          <c:showSerName val="0"/>
          <c:showPercent val="0"/>
          <c:showBubbleSize val="0"/>
        </c:dLbls>
        <c:gapWidth val="150"/>
        <c:axId val="336848000"/>
        <c:axId val="336849536"/>
      </c:barChart>
      <c:catAx>
        <c:axId val="336848000"/>
        <c:scaling>
          <c:orientation val="minMax"/>
        </c:scaling>
        <c:delete val="0"/>
        <c:axPos val="b"/>
        <c:majorTickMark val="none"/>
        <c:minorTickMark val="none"/>
        <c:tickLblPos val="nextTo"/>
        <c:crossAx val="336849536"/>
        <c:crosses val="autoZero"/>
        <c:auto val="1"/>
        <c:lblAlgn val="ctr"/>
        <c:lblOffset val="100"/>
        <c:noMultiLvlLbl val="0"/>
      </c:catAx>
      <c:valAx>
        <c:axId val="336849536"/>
        <c:scaling>
          <c:orientation val="minMax"/>
        </c:scaling>
        <c:delete val="0"/>
        <c:axPos val="l"/>
        <c:majorGridlines/>
        <c:title>
          <c:tx>
            <c:rich>
              <a:bodyPr/>
              <a:lstStyle/>
              <a:p>
                <a:pPr>
                  <a:defRPr/>
                </a:pPr>
                <a:r>
                  <a:rPr lang="en-AU"/>
                  <a:t>$million</a:t>
                </a:r>
              </a:p>
            </c:rich>
          </c:tx>
          <c:layout>
            <c:manualLayout>
              <c:xMode val="edge"/>
              <c:yMode val="edge"/>
              <c:x val="0.14339218833600856"/>
              <c:y val="0.35635243511227765"/>
            </c:manualLayout>
          </c:layout>
          <c:overlay val="0"/>
        </c:title>
        <c:numFmt formatCode="0.0" sourceLinked="1"/>
        <c:majorTickMark val="none"/>
        <c:minorTickMark val="none"/>
        <c:tickLblPos val="nextTo"/>
        <c:crossAx val="336848000"/>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NSW net tax effect (cumulative)</a:t>
            </a:r>
          </a:p>
        </c:rich>
      </c:tx>
      <c:layout/>
      <c:overlay val="0"/>
    </c:title>
    <c:autoTitleDeleted val="0"/>
    <c:plotArea>
      <c:layout>
        <c:manualLayout>
          <c:layoutTarget val="inner"/>
          <c:xMode val="edge"/>
          <c:yMode val="edge"/>
          <c:x val="0.16528159883629004"/>
          <c:y val="0.15455582475267515"/>
          <c:w val="0.83464804098282896"/>
          <c:h val="0.50104448482401243"/>
        </c:manualLayout>
      </c:layout>
      <c:lineChart>
        <c:grouping val="standard"/>
        <c:varyColors val="0"/>
        <c:ser>
          <c:idx val="0"/>
          <c:order val="0"/>
          <c:tx>
            <c:strRef>
              <c:f>'3.Summary'!$B$20</c:f>
              <c:strCache>
                <c:ptCount val="1"/>
                <c:pt idx="0">
                  <c:v>Scenario B</c:v>
                </c:pt>
              </c:strCache>
            </c:strRef>
          </c:tx>
          <c:marker>
            <c:symbol val="none"/>
          </c:marker>
          <c:cat>
            <c:strRef>
              <c:f>'3.Summary'!$C$19:$K$19</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'3.Summary'!$C$20:$K$20</c:f>
              <c:numCache>
                <c:formatCode>0.0</c:formatCode>
                <c:ptCount val="9"/>
                <c:pt idx="0">
                  <c:v>-30.52859999999896</c:v>
                </c:pt>
                <c:pt idx="1">
                  <c:v>-31.179700000000821</c:v>
                </c:pt>
                <c:pt idx="2">
                  <c:v>-32.17423000000008</c:v>
                </c:pt>
                <c:pt idx="3">
                  <c:v>-33.315930000000435</c:v>
                </c:pt>
                <c:pt idx="4">
                  <c:v>-34.789830000000848</c:v>
                </c:pt>
                <c:pt idx="5">
                  <c:v>-14.694430000000693</c:v>
                </c:pt>
                <c:pt idx="6">
                  <c:v>-15.344129999999723</c:v>
                </c:pt>
                <c:pt idx="7">
                  <c:v>-15.854329999998072</c:v>
                </c:pt>
                <c:pt idx="8">
                  <c:v>-16.295429999996259</c:v>
                </c:pt>
              </c:numCache>
            </c:numRef>
          </c:val>
          <c:smooth val="0"/>
        </c:ser>
        <c:ser>
          <c:idx val="1"/>
          <c:order val="1"/>
          <c:tx>
            <c:strRef>
              <c:f>'3.Summary'!$B$21</c:f>
              <c:strCache>
                <c:ptCount val="1"/>
                <c:pt idx="0">
                  <c:v>Scenario C</c:v>
                </c:pt>
              </c:strCache>
            </c:strRef>
          </c:tx>
          <c:marker>
            <c:symbol val="none"/>
          </c:marker>
          <c:cat>
            <c:strRef>
              <c:f>'3.Summary'!$C$19:$K$19</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'3.Summary'!$C$21:$K$21</c:f>
              <c:numCache>
                <c:formatCode>0.0</c:formatCode>
                <c:ptCount val="9"/>
                <c:pt idx="0">
                  <c:v>-15.394999999996799</c:v>
                </c:pt>
                <c:pt idx="1">
                  <c:v>-15.718400000001566</c:v>
                </c:pt>
                <c:pt idx="2">
                  <c:v>-16.240540000002511</c:v>
                </c:pt>
                <c:pt idx="3">
                  <c:v>-16.859139999996842</c:v>
                </c:pt>
                <c:pt idx="4">
                  <c:v>-17.646440000004077</c:v>
                </c:pt>
                <c:pt idx="5">
                  <c:v>-18.506339999999909</c:v>
                </c:pt>
                <c:pt idx="6">
                  <c:v>-19.077540000002045</c:v>
                </c:pt>
                <c:pt idx="7">
                  <c:v>-19.617839999998978</c:v>
                </c:pt>
                <c:pt idx="8">
                  <c:v>-20.139739999995072</c:v>
                </c:pt>
              </c:numCache>
            </c:numRef>
          </c:val>
          <c:smooth val="0"/>
        </c:ser>
        <c:ser>
          <c:idx val="2"/>
          <c:order val="2"/>
          <c:tx>
            <c:strRef>
              <c:f>'3.Summary'!$B$22</c:f>
              <c:strCache>
                <c:ptCount val="1"/>
                <c:pt idx="0">
                  <c:v>Scenario D</c:v>
                </c:pt>
              </c:strCache>
            </c:strRef>
          </c:tx>
          <c:marker>
            <c:symbol val="none"/>
          </c:marker>
          <c:cat>
            <c:strRef>
              <c:f>'3.Summary'!$C$19:$K$19</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'3.Summary'!$C$22:$K$22</c:f>
              <c:numCache>
                <c:formatCode>0.0</c:formatCode>
                <c:ptCount val="9"/>
                <c:pt idx="0">
                  <c:v>0.31160000000068067</c:v>
                </c:pt>
                <c:pt idx="1">
                  <c:v>0.20199999999886131</c:v>
                </c:pt>
                <c:pt idx="2">
                  <c:v>0.10535999999910928</c:v>
                </c:pt>
                <c:pt idx="3">
                  <c:v>4.9959999998236526E-2</c:v>
                </c:pt>
                <c:pt idx="4">
                  <c:v>-9.5400000016070408E-3</c:v>
                </c:pt>
                <c:pt idx="5">
                  <c:v>-4.4740000001411317E-2</c:v>
                </c:pt>
                <c:pt idx="6">
                  <c:v>-0.11814000000049418</c:v>
                </c:pt>
                <c:pt idx="7">
                  <c:v>-9.5339999998941494E-2</c:v>
                </c:pt>
                <c:pt idx="8">
                  <c:v>-5.2839999998468556E-2</c:v>
                </c:pt>
              </c:numCache>
            </c:numRef>
          </c:val>
          <c:smooth val="0"/>
        </c:ser>
        <c:ser>
          <c:idx val="3"/>
          <c:order val="3"/>
          <c:tx>
            <c:strRef>
              <c:f>'3.Summary'!$B$23</c:f>
              <c:strCache>
                <c:ptCount val="1"/>
                <c:pt idx="0">
                  <c:v>Scenario E</c:v>
                </c:pt>
              </c:strCache>
            </c:strRef>
          </c:tx>
          <c:marker>
            <c:symbol val="none"/>
          </c:marker>
          <c:cat>
            <c:strRef>
              <c:f>'3.Summary'!$C$19:$K$19</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'3.Summary'!$C$23:$K$23</c:f>
              <c:numCache>
                <c:formatCode>0.0</c:formatCode>
                <c:ptCount val="9"/>
                <c:pt idx="0">
                  <c:v>-96.492199999998093</c:v>
                </c:pt>
                <c:pt idx="1">
                  <c:v>-98.637199999998529</c:v>
                </c:pt>
                <c:pt idx="2">
                  <c:v>-101.75382999999647</c:v>
                </c:pt>
                <c:pt idx="3">
                  <c:v>-105.22432999999614</c:v>
                </c:pt>
                <c:pt idx="4">
                  <c:v>-109.76172999999699</c:v>
                </c:pt>
                <c:pt idx="5">
                  <c:v>-113.83992999999691</c:v>
                </c:pt>
                <c:pt idx="6">
                  <c:v>-117.1284299999968</c:v>
                </c:pt>
                <c:pt idx="7">
                  <c:v>-120.51322999999593</c:v>
                </c:pt>
                <c:pt idx="8">
                  <c:v>-123.91212999999379</c:v>
                </c:pt>
              </c:numCache>
            </c:numRef>
          </c:val>
          <c:smooth val="0"/>
        </c:ser>
        <c:dLbls>
          <c:showLegendKey val="0"/>
          <c:showVal val="0"/>
          <c:showCatName val="0"/>
          <c:showSerName val="0"/>
          <c:showPercent val="0"/>
          <c:showBubbleSize val="0"/>
        </c:dLbls>
        <c:marker val="1"/>
        <c:smooth val="0"/>
        <c:axId val="322247680"/>
        <c:axId val="322249472"/>
      </c:lineChart>
      <c:catAx>
        <c:axId val="322247680"/>
        <c:scaling>
          <c:orientation val="minMax"/>
        </c:scaling>
        <c:delete val="0"/>
        <c:axPos val="b"/>
        <c:majorTickMark val="none"/>
        <c:minorTickMark val="none"/>
        <c:tickLblPos val="nextTo"/>
        <c:crossAx val="322249472"/>
        <c:crosses val="autoZero"/>
        <c:auto val="1"/>
        <c:lblAlgn val="ctr"/>
        <c:lblOffset val="100"/>
        <c:noMultiLvlLbl val="0"/>
      </c:catAx>
      <c:valAx>
        <c:axId val="322249472"/>
        <c:scaling>
          <c:orientation val="minMax"/>
        </c:scaling>
        <c:delete val="0"/>
        <c:axPos val="l"/>
        <c:majorGridlines/>
        <c:title>
          <c:tx>
            <c:rich>
              <a:bodyPr/>
              <a:lstStyle/>
              <a:p>
                <a:pPr>
                  <a:defRPr/>
                </a:pPr>
                <a:r>
                  <a:rPr lang="en-AU"/>
                  <a:t>$million</a:t>
                </a:r>
              </a:p>
            </c:rich>
          </c:tx>
          <c:layout>
            <c:manualLayout>
              <c:xMode val="edge"/>
              <c:yMode val="edge"/>
              <c:x val="6.2368213009518392E-2"/>
              <c:y val="0.29233225654485495"/>
            </c:manualLayout>
          </c:layout>
          <c:overlay val="0"/>
        </c:title>
        <c:numFmt formatCode="0" sourceLinked="0"/>
        <c:majorTickMark val="none"/>
        <c:minorTickMark val="none"/>
        <c:tickLblPos val="nextTo"/>
        <c:crossAx val="322247680"/>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NSW GSP effect, cumulative %</a:t>
            </a:r>
          </a:p>
        </c:rich>
      </c:tx>
      <c:layout/>
      <c:overlay val="0"/>
    </c:title>
    <c:autoTitleDeleted val="0"/>
    <c:plotArea>
      <c:layout/>
      <c:lineChart>
        <c:grouping val="standard"/>
        <c:varyColors val="0"/>
        <c:ser>
          <c:idx val="0"/>
          <c:order val="0"/>
          <c:marker>
            <c:symbol val="none"/>
          </c:marker>
          <c:cat>
            <c:strRef>
              <c:f>'7.ScenarioD'!$P$25:$X$25</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'7.ScenarioD'!$P$137:$X$137</c:f>
              <c:numCache>
                <c:formatCode>0.000</c:formatCode>
                <c:ptCount val="9"/>
                <c:pt idx="0">
                  <c:v>-4.3099206261221212E-3</c:v>
                </c:pt>
                <c:pt idx="1">
                  <c:v>-2.6383943000474197E-3</c:v>
                </c:pt>
                <c:pt idx="2">
                  <c:v>-1.5438828432468021E-3</c:v>
                </c:pt>
                <c:pt idx="3">
                  <c:v>-8.4110944766901952E-4</c:v>
                </c:pt>
                <c:pt idx="4">
                  <c:v>-2.9430253901674419E-4</c:v>
                </c:pt>
                <c:pt idx="5">
                  <c:v>1.8155927783425341E-5</c:v>
                </c:pt>
                <c:pt idx="6">
                  <c:v>2.3281448995327025E-4</c:v>
                </c:pt>
                <c:pt idx="7">
                  <c:v>3.7913519532750684E-4</c:v>
                </c:pt>
                <c:pt idx="8">
                  <c:v>4.9619927349198178E-4</c:v>
                </c:pt>
              </c:numCache>
            </c:numRef>
          </c:val>
          <c:smooth val="0"/>
        </c:ser>
        <c:dLbls>
          <c:showLegendKey val="0"/>
          <c:showVal val="0"/>
          <c:showCatName val="0"/>
          <c:showSerName val="0"/>
          <c:showPercent val="0"/>
          <c:showBubbleSize val="0"/>
        </c:dLbls>
        <c:marker val="1"/>
        <c:smooth val="0"/>
        <c:axId val="336937344"/>
        <c:axId val="336938880"/>
      </c:lineChart>
      <c:catAx>
        <c:axId val="336937344"/>
        <c:scaling>
          <c:orientation val="minMax"/>
        </c:scaling>
        <c:delete val="0"/>
        <c:axPos val="b"/>
        <c:majorTickMark val="none"/>
        <c:minorTickMark val="none"/>
        <c:tickLblPos val="low"/>
        <c:crossAx val="336938880"/>
        <c:crosses val="autoZero"/>
        <c:auto val="1"/>
        <c:lblAlgn val="ctr"/>
        <c:lblOffset val="100"/>
        <c:noMultiLvlLbl val="0"/>
      </c:catAx>
      <c:valAx>
        <c:axId val="336938880"/>
        <c:scaling>
          <c:orientation val="minMax"/>
        </c:scaling>
        <c:delete val="0"/>
        <c:axPos val="l"/>
        <c:majorGridlines/>
        <c:title>
          <c:tx>
            <c:rich>
              <a:bodyPr/>
              <a:lstStyle/>
              <a:p>
                <a:pPr>
                  <a:defRPr/>
                </a:pPr>
                <a:r>
                  <a:rPr lang="en-US"/>
                  <a:t>%</a:t>
                </a:r>
              </a:p>
            </c:rich>
          </c:tx>
          <c:layout/>
          <c:overlay val="0"/>
        </c:title>
        <c:numFmt formatCode="0.000" sourceLinked="1"/>
        <c:majorTickMark val="none"/>
        <c:minorTickMark val="none"/>
        <c:tickLblPos val="nextTo"/>
        <c:crossAx val="336937344"/>
        <c:crosses val="autoZero"/>
        <c:crossBetween val="between"/>
      </c:valAx>
    </c:plotArea>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NSW GSP effect, cumulative</a:t>
            </a:r>
          </a:p>
        </c:rich>
      </c:tx>
      <c:layout/>
      <c:overlay val="0"/>
    </c:title>
    <c:autoTitleDeleted val="0"/>
    <c:plotArea>
      <c:layout/>
      <c:barChart>
        <c:barDir val="col"/>
        <c:grouping val="clustered"/>
        <c:varyColors val="0"/>
        <c:ser>
          <c:idx val="0"/>
          <c:order val="0"/>
          <c:invertIfNegative val="0"/>
          <c:cat>
            <c:strRef>
              <c:f>'7.ScenarioD'!$P$25:$X$25</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'7.ScenarioD'!$P$110:$X$110</c:f>
              <c:numCache>
                <c:formatCode>0.000</c:formatCode>
                <c:ptCount val="9"/>
                <c:pt idx="0">
                  <c:v>-21.305888618633617</c:v>
                </c:pt>
                <c:pt idx="1">
                  <c:v>-13.342409066041</c:v>
                </c:pt>
                <c:pt idx="2">
                  <c:v>-7.9890501022455283</c:v>
                </c:pt>
                <c:pt idx="3">
                  <c:v>-4.4590649059973657</c:v>
                </c:pt>
                <c:pt idx="4">
                  <c:v>-1.5978487702086568</c:v>
                </c:pt>
                <c:pt idx="5">
                  <c:v>0.1009523686952889</c:v>
                </c:pt>
                <c:pt idx="6">
                  <c:v>1.3267302056774497</c:v>
                </c:pt>
                <c:pt idx="7">
                  <c:v>2.2148952739080414</c:v>
                </c:pt>
                <c:pt idx="8">
                  <c:v>2.9714912892086431</c:v>
                </c:pt>
              </c:numCache>
            </c:numRef>
          </c:val>
        </c:ser>
        <c:dLbls>
          <c:showLegendKey val="0"/>
          <c:showVal val="0"/>
          <c:showCatName val="0"/>
          <c:showSerName val="0"/>
          <c:showPercent val="0"/>
          <c:showBubbleSize val="0"/>
        </c:dLbls>
        <c:gapWidth val="150"/>
        <c:axId val="336992128"/>
        <c:axId val="336993664"/>
      </c:barChart>
      <c:catAx>
        <c:axId val="336992128"/>
        <c:scaling>
          <c:orientation val="minMax"/>
        </c:scaling>
        <c:delete val="0"/>
        <c:axPos val="b"/>
        <c:majorTickMark val="none"/>
        <c:minorTickMark val="none"/>
        <c:tickLblPos val="low"/>
        <c:crossAx val="336993664"/>
        <c:crosses val="autoZero"/>
        <c:auto val="1"/>
        <c:lblAlgn val="ctr"/>
        <c:lblOffset val="100"/>
        <c:noMultiLvlLbl val="0"/>
      </c:catAx>
      <c:valAx>
        <c:axId val="336993664"/>
        <c:scaling>
          <c:orientation val="minMax"/>
        </c:scaling>
        <c:delete val="0"/>
        <c:axPos val="l"/>
        <c:majorGridlines/>
        <c:title>
          <c:tx>
            <c:rich>
              <a:bodyPr/>
              <a:lstStyle/>
              <a:p>
                <a:pPr>
                  <a:defRPr/>
                </a:pPr>
                <a:r>
                  <a:rPr lang="en-AU"/>
                  <a:t>$million</a:t>
                </a:r>
              </a:p>
            </c:rich>
          </c:tx>
          <c:layout/>
          <c:overlay val="0"/>
        </c:title>
        <c:numFmt formatCode="0" sourceLinked="0"/>
        <c:majorTickMark val="none"/>
        <c:minorTickMark val="none"/>
        <c:tickLblPos val="nextTo"/>
        <c:crossAx val="336992128"/>
        <c:crosses val="autoZero"/>
        <c:crossBetween val="between"/>
      </c:valAx>
    </c:plotArea>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Effect on industry gross value add</a:t>
            </a:r>
          </a:p>
        </c:rich>
      </c:tx>
      <c:layout/>
      <c:overlay val="0"/>
    </c:title>
    <c:autoTitleDeleted val="0"/>
    <c:plotArea>
      <c:layout/>
      <c:barChart>
        <c:barDir val="col"/>
        <c:grouping val="stacked"/>
        <c:varyColors val="0"/>
        <c:ser>
          <c:idx val="0"/>
          <c:order val="0"/>
          <c:tx>
            <c:v>Thoroughbred</c:v>
          </c:tx>
          <c:invertIfNegative val="0"/>
          <c:cat>
            <c:strRef>
              <c:f>'7.ScenarioD'!$P$11:$X$11</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'7.ScenarioD'!$P$104:$X$104</c:f>
              <c:numCache>
                <c:formatCode>0.000</c:formatCode>
                <c:ptCount val="9"/>
                <c:pt idx="0">
                  <c:v>5.6846537762453409E-2</c:v>
                </c:pt>
                <c:pt idx="1">
                  <c:v>0.11385733790962149</c:v>
                </c:pt>
                <c:pt idx="2">
                  <c:v>0.17237631972659528</c:v>
                </c:pt>
                <c:pt idx="3">
                  <c:v>0.23300743313018302</c:v>
                </c:pt>
                <c:pt idx="4">
                  <c:v>0.29636305095232274</c:v>
                </c:pt>
                <c:pt idx="5">
                  <c:v>0.36163534036279543</c:v>
                </c:pt>
                <c:pt idx="6">
                  <c:v>0.42882297696030491</c:v>
                </c:pt>
                <c:pt idx="7">
                  <c:v>0.49761490854416479</c:v>
                </c:pt>
                <c:pt idx="8">
                  <c:v>0.56785885730744212</c:v>
                </c:pt>
              </c:numCache>
            </c:numRef>
          </c:val>
        </c:ser>
        <c:ser>
          <c:idx val="1"/>
          <c:order val="1"/>
          <c:tx>
            <c:v>Greyhound</c:v>
          </c:tx>
          <c:invertIfNegative val="0"/>
          <c:cat>
            <c:strRef>
              <c:f>'7.ScenarioD'!$P$11:$X$11</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'7.ScenarioD'!$P$105:$X$105</c:f>
              <c:numCache>
                <c:formatCode>0.000</c:formatCode>
                <c:ptCount val="9"/>
                <c:pt idx="0">
                  <c:v>-3.9812370560228487</c:v>
                </c:pt>
                <c:pt idx="1">
                  <c:v>-4.0692181639605707</c:v>
                </c:pt>
                <c:pt idx="2">
                  <c:v>-4.2332980855489666</c:v>
                </c:pt>
                <c:pt idx="3">
                  <c:v>-4.4550559723756891</c:v>
                </c:pt>
                <c:pt idx="4">
                  <c:v>-4.7540272789662765</c:v>
                </c:pt>
                <c:pt idx="5">
                  <c:v>-4.9713802567028864</c:v>
                </c:pt>
                <c:pt idx="6">
                  <c:v>-5.1837255372434754</c:v>
                </c:pt>
                <c:pt idx="7">
                  <c:v>-5.3733455274927877</c:v>
                </c:pt>
                <c:pt idx="8">
                  <c:v>-5.5526378253321838</c:v>
                </c:pt>
              </c:numCache>
            </c:numRef>
          </c:val>
        </c:ser>
        <c:ser>
          <c:idx val="2"/>
          <c:order val="2"/>
          <c:tx>
            <c:v>Harness</c:v>
          </c:tx>
          <c:invertIfNegative val="0"/>
          <c:cat>
            <c:strRef>
              <c:f>'7.ScenarioD'!$P$11:$X$11</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'7.ScenarioD'!$P$106:$X$106</c:f>
              <c:numCache>
                <c:formatCode>0.000</c:formatCode>
                <c:ptCount val="9"/>
                <c:pt idx="0">
                  <c:v>1.2141956961411182E-3</c:v>
                </c:pt>
                <c:pt idx="1">
                  <c:v>2.3869233031348358E-3</c:v>
                </c:pt>
                <c:pt idx="2">
                  <c:v>3.536168744602719E-3</c:v>
                </c:pt>
                <c:pt idx="3">
                  <c:v>4.6764491298389999E-3</c:v>
                </c:pt>
                <c:pt idx="4">
                  <c:v>5.8180941665746388E-3</c:v>
                </c:pt>
                <c:pt idx="5">
                  <c:v>6.943229927216521E-3</c:v>
                </c:pt>
                <c:pt idx="6">
                  <c:v>8.0506291080855164E-3</c:v>
                </c:pt>
                <c:pt idx="7">
                  <c:v>9.1334681342996049E-3</c:v>
                </c:pt>
                <c:pt idx="8">
                  <c:v>1.0188361606854102E-2</c:v>
                </c:pt>
              </c:numCache>
            </c:numRef>
          </c:val>
        </c:ser>
        <c:dLbls>
          <c:showLegendKey val="0"/>
          <c:showVal val="0"/>
          <c:showCatName val="0"/>
          <c:showSerName val="0"/>
          <c:showPercent val="0"/>
          <c:showBubbleSize val="0"/>
        </c:dLbls>
        <c:gapWidth val="75"/>
        <c:overlap val="100"/>
        <c:axId val="337015936"/>
        <c:axId val="337017472"/>
      </c:barChart>
      <c:catAx>
        <c:axId val="337015936"/>
        <c:scaling>
          <c:orientation val="minMax"/>
        </c:scaling>
        <c:delete val="0"/>
        <c:axPos val="b"/>
        <c:majorTickMark val="none"/>
        <c:minorTickMark val="none"/>
        <c:tickLblPos val="low"/>
        <c:crossAx val="337017472"/>
        <c:crosses val="autoZero"/>
        <c:auto val="1"/>
        <c:lblAlgn val="ctr"/>
        <c:lblOffset val="100"/>
        <c:noMultiLvlLbl val="0"/>
      </c:catAx>
      <c:valAx>
        <c:axId val="337017472"/>
        <c:scaling>
          <c:orientation val="minMax"/>
        </c:scaling>
        <c:delete val="0"/>
        <c:axPos val="l"/>
        <c:majorGridlines/>
        <c:numFmt formatCode="0" sourceLinked="0"/>
        <c:majorTickMark val="none"/>
        <c:minorTickMark val="none"/>
        <c:tickLblPos val="nextTo"/>
        <c:spPr>
          <a:ln w="9525">
            <a:noFill/>
          </a:ln>
        </c:spPr>
        <c:crossAx val="337015936"/>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sz="1050">
                <a:solidFill>
                  <a:schemeClr val="accent2">
                    <a:lumMod val="75000"/>
                  </a:schemeClr>
                </a:solidFill>
                <a:latin typeface="+mj-lt"/>
              </a:defRPr>
            </a:pPr>
            <a:r>
              <a:rPr lang="en-AU" sz="1050">
                <a:solidFill>
                  <a:schemeClr val="accent2">
                    <a:lumMod val="75000"/>
                  </a:schemeClr>
                </a:solidFill>
                <a:latin typeface="+mj-lt"/>
              </a:rPr>
              <a:t>NSW Direct</a:t>
            </a:r>
            <a:r>
              <a:rPr lang="en-AU" sz="1050" baseline="0">
                <a:solidFill>
                  <a:schemeClr val="accent2">
                    <a:lumMod val="75000"/>
                  </a:schemeClr>
                </a:solidFill>
                <a:latin typeface="+mj-lt"/>
              </a:rPr>
              <a:t> fiscal effect, annual</a:t>
            </a:r>
            <a:endParaRPr lang="en-AU" sz="1050">
              <a:solidFill>
                <a:schemeClr val="accent2">
                  <a:lumMod val="75000"/>
                </a:schemeClr>
              </a:solidFill>
              <a:latin typeface="+mj-lt"/>
            </a:endParaRPr>
          </a:p>
        </c:rich>
      </c:tx>
      <c:layout>
        <c:manualLayout>
          <c:xMode val="edge"/>
          <c:yMode val="edge"/>
          <c:x val="0.3384792213473316"/>
          <c:y val="6.4814814814814811E-2"/>
        </c:manualLayout>
      </c:layout>
      <c:overlay val="0"/>
    </c:title>
    <c:autoTitleDeleted val="0"/>
    <c:plotArea>
      <c:layout/>
      <c:barChart>
        <c:barDir val="col"/>
        <c:grouping val="clustered"/>
        <c:varyColors val="0"/>
        <c:ser>
          <c:idx val="0"/>
          <c:order val="0"/>
          <c:invertIfNegative val="0"/>
          <c:cat>
            <c:strRef>
              <c:f>'3.Summary'!$N$34:$V$34</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'3.Summary'!$N$38:$V$38</c:f>
              <c:numCache>
                <c:formatCode>0.0</c:formatCode>
                <c:ptCount val="9"/>
                <c:pt idx="0">
                  <c:v>-95.673621353975193</c:v>
                </c:pt>
                <c:pt idx="1">
                  <c:v>-95.624394983079043</c:v>
                </c:pt>
                <c:pt idx="2">
                  <c:v>-96.184374818140213</c:v>
                </c:pt>
                <c:pt idx="3">
                  <c:v>-96.698514126485989</c:v>
                </c:pt>
                <c:pt idx="4">
                  <c:v>-97.315590556638696</c:v>
                </c:pt>
                <c:pt idx="5">
                  <c:v>-97.895124823219305</c:v>
                </c:pt>
                <c:pt idx="6">
                  <c:v>-98.479804907412444</c:v>
                </c:pt>
                <c:pt idx="7">
                  <c:v>-99.06880247314146</c:v>
                </c:pt>
                <c:pt idx="8">
                  <c:v>-99.674946691450558</c:v>
                </c:pt>
              </c:numCache>
            </c:numRef>
          </c:val>
        </c:ser>
        <c:dLbls>
          <c:showLegendKey val="0"/>
          <c:showVal val="0"/>
          <c:showCatName val="0"/>
          <c:showSerName val="0"/>
          <c:showPercent val="0"/>
          <c:showBubbleSize val="0"/>
        </c:dLbls>
        <c:gapWidth val="150"/>
        <c:axId val="337037952"/>
        <c:axId val="337052032"/>
      </c:barChart>
      <c:catAx>
        <c:axId val="337037952"/>
        <c:scaling>
          <c:orientation val="minMax"/>
        </c:scaling>
        <c:delete val="0"/>
        <c:axPos val="b"/>
        <c:majorTickMark val="none"/>
        <c:minorTickMark val="none"/>
        <c:tickLblPos val="low"/>
        <c:crossAx val="337052032"/>
        <c:crosses val="autoZero"/>
        <c:auto val="1"/>
        <c:lblAlgn val="ctr"/>
        <c:lblOffset val="100"/>
        <c:noMultiLvlLbl val="0"/>
      </c:catAx>
      <c:valAx>
        <c:axId val="337052032"/>
        <c:scaling>
          <c:orientation val="minMax"/>
        </c:scaling>
        <c:delete val="0"/>
        <c:axPos val="l"/>
        <c:majorGridlines/>
        <c:title>
          <c:tx>
            <c:rich>
              <a:bodyPr/>
              <a:lstStyle/>
              <a:p>
                <a:pPr>
                  <a:defRPr/>
                </a:pPr>
                <a:r>
                  <a:rPr lang="en-AU"/>
                  <a:t>$million</a:t>
                </a:r>
              </a:p>
            </c:rich>
          </c:tx>
          <c:layout/>
          <c:overlay val="0"/>
        </c:title>
        <c:numFmt formatCode="0.0" sourceLinked="1"/>
        <c:majorTickMark val="none"/>
        <c:minorTickMark val="none"/>
        <c:tickLblPos val="nextTo"/>
        <c:crossAx val="337037952"/>
        <c:crosses val="autoZero"/>
        <c:crossBetween val="between"/>
      </c:valAx>
    </c:plotArea>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Effect on GSP, cumulative</a:t>
            </a:r>
          </a:p>
        </c:rich>
      </c:tx>
      <c:layout/>
      <c:overlay val="0"/>
    </c:title>
    <c:autoTitleDeleted val="0"/>
    <c:plotArea>
      <c:layout/>
      <c:barChart>
        <c:barDir val="col"/>
        <c:grouping val="clustered"/>
        <c:varyColors val="0"/>
        <c:ser>
          <c:idx val="0"/>
          <c:order val="0"/>
          <c:invertIfNegative val="0"/>
          <c:cat>
            <c:strRef>
              <c:f>'8.ScenarioE'!$P$56:$X$56</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'8.ScenarioE'!$P$150:$X$150</c:f>
              <c:numCache>
                <c:formatCode>0.00</c:formatCode>
                <c:ptCount val="9"/>
                <c:pt idx="0">
                  <c:v>117.20654373862644</c:v>
                </c:pt>
                <c:pt idx="1">
                  <c:v>72.23294723636829</c:v>
                </c:pt>
                <c:pt idx="2">
                  <c:v>42.352825489836931</c:v>
                </c:pt>
                <c:pt idx="3">
                  <c:v>22.638285079265458</c:v>
                </c:pt>
                <c:pt idx="4">
                  <c:v>6.7492269947950945</c:v>
                </c:pt>
                <c:pt idx="5">
                  <c:v>-3.7836936121365881</c:v>
                </c:pt>
                <c:pt idx="6">
                  <c:v>-12.385043555476344</c:v>
                </c:pt>
                <c:pt idx="7">
                  <c:v>-18.736946580251058</c:v>
                </c:pt>
                <c:pt idx="8">
                  <c:v>-24.172447408051895</c:v>
                </c:pt>
              </c:numCache>
            </c:numRef>
          </c:val>
        </c:ser>
        <c:dLbls>
          <c:showLegendKey val="0"/>
          <c:showVal val="0"/>
          <c:showCatName val="0"/>
          <c:showSerName val="0"/>
          <c:showPercent val="0"/>
          <c:showBubbleSize val="0"/>
        </c:dLbls>
        <c:gapWidth val="150"/>
        <c:axId val="337072512"/>
        <c:axId val="337074048"/>
      </c:barChart>
      <c:catAx>
        <c:axId val="337072512"/>
        <c:scaling>
          <c:orientation val="minMax"/>
        </c:scaling>
        <c:delete val="0"/>
        <c:axPos val="b"/>
        <c:majorTickMark val="none"/>
        <c:minorTickMark val="none"/>
        <c:tickLblPos val="low"/>
        <c:crossAx val="337074048"/>
        <c:crosses val="autoZero"/>
        <c:auto val="1"/>
        <c:lblAlgn val="ctr"/>
        <c:lblOffset val="100"/>
        <c:noMultiLvlLbl val="0"/>
      </c:catAx>
      <c:valAx>
        <c:axId val="337074048"/>
        <c:scaling>
          <c:orientation val="minMax"/>
        </c:scaling>
        <c:delete val="0"/>
        <c:axPos val="l"/>
        <c:majorGridlines/>
        <c:title>
          <c:tx>
            <c:rich>
              <a:bodyPr/>
              <a:lstStyle/>
              <a:p>
                <a:pPr>
                  <a:defRPr/>
                </a:pPr>
                <a:r>
                  <a:rPr lang="en-AU"/>
                  <a:t>$millionm</a:t>
                </a:r>
              </a:p>
            </c:rich>
          </c:tx>
          <c:layout/>
          <c:overlay val="0"/>
        </c:title>
        <c:numFmt formatCode="0" sourceLinked="0"/>
        <c:majorTickMark val="none"/>
        <c:minorTickMark val="none"/>
        <c:tickLblPos val="nextTo"/>
        <c:crossAx val="337072512"/>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Effect on GSP, cumulative</a:t>
            </a:r>
          </a:p>
        </c:rich>
      </c:tx>
      <c:layout/>
      <c:overlay val="0"/>
    </c:title>
    <c:autoTitleDeleted val="0"/>
    <c:plotArea>
      <c:layout/>
      <c:barChart>
        <c:barDir val="col"/>
        <c:grouping val="clustered"/>
        <c:varyColors val="0"/>
        <c:ser>
          <c:idx val="0"/>
          <c:order val="0"/>
          <c:invertIfNegative val="0"/>
          <c:cat>
            <c:strRef>
              <c:f>'8.ScenarioE'!$P$56:$X$56</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'8.ScenarioE'!$P$177:$X$177</c:f>
              <c:numCache>
                <c:formatCode>0.000</c:formatCode>
                <c:ptCount val="9"/>
                <c:pt idx="0">
                  <c:v>2.3709449974962382E-2</c:v>
                </c:pt>
                <c:pt idx="1">
                  <c:v>1.4283702090156503E-2</c:v>
                </c:pt>
                <c:pt idx="2">
                  <c:v>8.1846777526539682E-3</c:v>
                </c:pt>
                <c:pt idx="3">
                  <c:v>4.2702395817606487E-3</c:v>
                </c:pt>
                <c:pt idx="4">
                  <c:v>1.2431180459460123E-3</c:v>
                </c:pt>
                <c:pt idx="5">
                  <c:v>-6.8048396379971621E-4</c:v>
                </c:pt>
                <c:pt idx="6">
                  <c:v>-2.1733262617895655E-3</c:v>
                </c:pt>
                <c:pt idx="7">
                  <c:v>-3.2073010337696495E-3</c:v>
                </c:pt>
                <c:pt idx="8">
                  <c:v>-4.0364751819677025E-3</c:v>
                </c:pt>
              </c:numCache>
            </c:numRef>
          </c:val>
        </c:ser>
        <c:dLbls>
          <c:showLegendKey val="0"/>
          <c:showVal val="0"/>
          <c:showCatName val="0"/>
          <c:showSerName val="0"/>
          <c:showPercent val="0"/>
          <c:showBubbleSize val="0"/>
        </c:dLbls>
        <c:gapWidth val="150"/>
        <c:axId val="337086336"/>
        <c:axId val="337087872"/>
      </c:barChart>
      <c:catAx>
        <c:axId val="337086336"/>
        <c:scaling>
          <c:orientation val="minMax"/>
        </c:scaling>
        <c:delete val="0"/>
        <c:axPos val="b"/>
        <c:majorTickMark val="none"/>
        <c:minorTickMark val="none"/>
        <c:tickLblPos val="low"/>
        <c:crossAx val="337087872"/>
        <c:crosses val="autoZero"/>
        <c:auto val="1"/>
        <c:lblAlgn val="ctr"/>
        <c:lblOffset val="100"/>
        <c:noMultiLvlLbl val="0"/>
      </c:catAx>
      <c:valAx>
        <c:axId val="337087872"/>
        <c:scaling>
          <c:orientation val="minMax"/>
        </c:scaling>
        <c:delete val="0"/>
        <c:axPos val="l"/>
        <c:majorGridlines/>
        <c:title>
          <c:tx>
            <c:rich>
              <a:bodyPr/>
              <a:lstStyle/>
              <a:p>
                <a:pPr>
                  <a:defRPr/>
                </a:pPr>
                <a:r>
                  <a:rPr lang="en-AU"/>
                  <a:t>%</a:t>
                </a:r>
              </a:p>
            </c:rich>
          </c:tx>
          <c:layout/>
          <c:overlay val="0"/>
        </c:title>
        <c:numFmt formatCode="0.000" sourceLinked="0"/>
        <c:majorTickMark val="none"/>
        <c:minorTickMark val="none"/>
        <c:tickLblPos val="nextTo"/>
        <c:crossAx val="337086336"/>
        <c:crosses val="autoZero"/>
        <c:crossBetween val="between"/>
      </c:valAx>
    </c:plotArea>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latin typeface="+mj-lt"/>
              </a:defRPr>
            </a:pPr>
            <a:r>
              <a:rPr lang="en-AU" sz="1050">
                <a:latin typeface="+mj-lt"/>
              </a:rPr>
              <a:t>Effect on industry gross value add</a:t>
            </a:r>
          </a:p>
        </c:rich>
      </c:tx>
      <c:layout/>
      <c:overlay val="0"/>
    </c:title>
    <c:autoTitleDeleted val="0"/>
    <c:plotArea>
      <c:layout/>
      <c:barChart>
        <c:barDir val="col"/>
        <c:grouping val="stacked"/>
        <c:varyColors val="0"/>
        <c:ser>
          <c:idx val="0"/>
          <c:order val="0"/>
          <c:tx>
            <c:v>Thoroughbred</c:v>
          </c:tx>
          <c:invertIfNegative val="0"/>
          <c:cat>
            <c:strRef>
              <c:f>'8.ScenarioE'!$P$56:$X$56</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'8.ScenarioE'!$P$144:$X$144</c:f>
              <c:numCache>
                <c:formatCode>0.00</c:formatCode>
                <c:ptCount val="9"/>
                <c:pt idx="0">
                  <c:v>39.943900799722201</c:v>
                </c:pt>
                <c:pt idx="1">
                  <c:v>42.42419711551247</c:v>
                </c:pt>
                <c:pt idx="2">
                  <c:v>45.116136883841705</c:v>
                </c:pt>
                <c:pt idx="3">
                  <c:v>47.893159046120445</c:v>
                </c:pt>
                <c:pt idx="4">
                  <c:v>50.908967834476357</c:v>
                </c:pt>
                <c:pt idx="5">
                  <c:v>53.748327889448774</c:v>
                </c:pt>
                <c:pt idx="6">
                  <c:v>56.606110663606614</c:v>
                </c:pt>
                <c:pt idx="7">
                  <c:v>59.463587854966818</c:v>
                </c:pt>
                <c:pt idx="8">
                  <c:v>62.347448314869666</c:v>
                </c:pt>
              </c:numCache>
            </c:numRef>
          </c:val>
        </c:ser>
        <c:ser>
          <c:idx val="1"/>
          <c:order val="1"/>
          <c:tx>
            <c:v>Greyhound</c:v>
          </c:tx>
          <c:invertIfNegative val="0"/>
          <c:cat>
            <c:strRef>
              <c:f>'8.ScenarioE'!$P$56:$X$56</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'8.ScenarioE'!$P$145:$X$145</c:f>
              <c:numCache>
                <c:formatCode>0.00</c:formatCode>
                <c:ptCount val="9"/>
                <c:pt idx="0">
                  <c:v>14.21111393958175</c:v>
                </c:pt>
                <c:pt idx="1">
                  <c:v>15.01936330728725</c:v>
                </c:pt>
                <c:pt idx="2">
                  <c:v>15.921583309698377</c:v>
                </c:pt>
                <c:pt idx="3">
                  <c:v>16.849946108804147</c:v>
                </c:pt>
                <c:pt idx="4">
                  <c:v>17.882258435860436</c:v>
                </c:pt>
                <c:pt idx="5">
                  <c:v>18.848486883883055</c:v>
                </c:pt>
                <c:pt idx="6">
                  <c:v>19.824799919299366</c:v>
                </c:pt>
                <c:pt idx="7">
                  <c:v>20.804325324314846</c:v>
                </c:pt>
                <c:pt idx="8">
                  <c:v>21.801188753976419</c:v>
                </c:pt>
              </c:numCache>
            </c:numRef>
          </c:val>
        </c:ser>
        <c:ser>
          <c:idx val="2"/>
          <c:order val="2"/>
          <c:tx>
            <c:v>Harness</c:v>
          </c:tx>
          <c:invertIfNegative val="0"/>
          <c:cat>
            <c:strRef>
              <c:f>'8.ScenarioE'!$P$56:$X$56</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'8.ScenarioE'!$P$146:$X$146</c:f>
              <c:numCache>
                <c:formatCode>0.00</c:formatCode>
                <c:ptCount val="9"/>
                <c:pt idx="0">
                  <c:v>2.7965366483865441</c:v>
                </c:pt>
                <c:pt idx="1">
                  <c:v>2.9142696964951753</c:v>
                </c:pt>
                <c:pt idx="2">
                  <c:v>3.0432249455226881</c:v>
                </c:pt>
                <c:pt idx="3">
                  <c:v>3.1745750166777977</c:v>
                </c:pt>
                <c:pt idx="4">
                  <c:v>3.3193347844860277</c:v>
                </c:pt>
                <c:pt idx="5">
                  <c:v>3.4477860412582242</c:v>
                </c:pt>
                <c:pt idx="6">
                  <c:v>3.5737441423377163</c:v>
                </c:pt>
                <c:pt idx="7">
                  <c:v>3.6958884088649739</c:v>
                </c:pt>
                <c:pt idx="8">
                  <c:v>3.816110946813108</c:v>
                </c:pt>
              </c:numCache>
            </c:numRef>
          </c:val>
        </c:ser>
        <c:dLbls>
          <c:showLegendKey val="0"/>
          <c:showVal val="0"/>
          <c:showCatName val="0"/>
          <c:showSerName val="0"/>
          <c:showPercent val="0"/>
          <c:showBubbleSize val="0"/>
        </c:dLbls>
        <c:gapWidth val="95"/>
        <c:overlap val="100"/>
        <c:axId val="337221120"/>
        <c:axId val="337222656"/>
      </c:barChart>
      <c:catAx>
        <c:axId val="337221120"/>
        <c:scaling>
          <c:orientation val="minMax"/>
        </c:scaling>
        <c:delete val="0"/>
        <c:axPos val="b"/>
        <c:majorTickMark val="none"/>
        <c:minorTickMark val="none"/>
        <c:tickLblPos val="nextTo"/>
        <c:txPr>
          <a:bodyPr/>
          <a:lstStyle/>
          <a:p>
            <a:pPr>
              <a:defRPr sz="800"/>
            </a:pPr>
            <a:endParaRPr lang="en-US"/>
          </a:p>
        </c:txPr>
        <c:crossAx val="337222656"/>
        <c:crosses val="autoZero"/>
        <c:auto val="1"/>
        <c:lblAlgn val="ctr"/>
        <c:lblOffset val="100"/>
        <c:noMultiLvlLbl val="0"/>
      </c:catAx>
      <c:valAx>
        <c:axId val="337222656"/>
        <c:scaling>
          <c:orientation val="minMax"/>
        </c:scaling>
        <c:delete val="0"/>
        <c:axPos val="l"/>
        <c:majorGridlines/>
        <c:title>
          <c:tx>
            <c:rich>
              <a:bodyPr/>
              <a:lstStyle/>
              <a:p>
                <a:pPr>
                  <a:defRPr/>
                </a:pPr>
                <a:r>
                  <a:rPr lang="en-AU"/>
                  <a:t>$million</a:t>
                </a:r>
              </a:p>
            </c:rich>
          </c:tx>
          <c:layout/>
          <c:overlay val="0"/>
        </c:title>
        <c:numFmt formatCode="0" sourceLinked="0"/>
        <c:majorTickMark val="none"/>
        <c:minorTickMark val="none"/>
        <c:tickLblPos val="nextTo"/>
        <c:crossAx val="337221120"/>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Effect on employment</a:t>
            </a:r>
          </a:p>
        </c:rich>
      </c:tx>
      <c:layout>
        <c:manualLayout>
          <c:xMode val="edge"/>
          <c:yMode val="edge"/>
          <c:x val="0.36250699912510936"/>
          <c:y val="1.8518518518518517E-2"/>
        </c:manualLayout>
      </c:layout>
      <c:overlay val="0"/>
    </c:title>
    <c:autoTitleDeleted val="0"/>
    <c:plotArea>
      <c:layout/>
      <c:barChart>
        <c:barDir val="col"/>
        <c:grouping val="stacked"/>
        <c:varyColors val="0"/>
        <c:ser>
          <c:idx val="0"/>
          <c:order val="0"/>
          <c:tx>
            <c:strRef>
              <c:f>'8.ScenarioE'!$B$138</c:f>
              <c:strCache>
                <c:ptCount val="1"/>
                <c:pt idx="0">
                  <c:v>Thoroughbred </c:v>
                </c:pt>
              </c:strCache>
            </c:strRef>
          </c:tx>
          <c:invertIfNegative val="0"/>
          <c:cat>
            <c:strRef>
              <c:f>'8.ScenarioE'!$P$56:$X$56</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'8.ScenarioE'!$P$138:$X$138</c:f>
              <c:numCache>
                <c:formatCode>0</c:formatCode>
                <c:ptCount val="9"/>
                <c:pt idx="0">
                  <c:v>1422.3366898466338</c:v>
                </c:pt>
                <c:pt idx="1">
                  <c:v>1408.2062290880476</c:v>
                </c:pt>
                <c:pt idx="2">
                  <c:v>1405.9769828413509</c:v>
                </c:pt>
                <c:pt idx="3">
                  <c:v>1407.3135790687702</c:v>
                </c:pt>
                <c:pt idx="4">
                  <c:v>1421.9521393810228</c:v>
                </c:pt>
                <c:pt idx="5">
                  <c:v>1430.1199518275016</c:v>
                </c:pt>
                <c:pt idx="6">
                  <c:v>1438.6711407054509</c:v>
                </c:pt>
                <c:pt idx="7">
                  <c:v>1447.6437420869124</c:v>
                </c:pt>
                <c:pt idx="8">
                  <c:v>1458.4671615759025</c:v>
                </c:pt>
              </c:numCache>
            </c:numRef>
          </c:val>
        </c:ser>
        <c:ser>
          <c:idx val="1"/>
          <c:order val="1"/>
          <c:tx>
            <c:strRef>
              <c:f>'8.ScenarioE'!$B$139</c:f>
              <c:strCache>
                <c:ptCount val="1"/>
                <c:pt idx="0">
                  <c:v>Greyhound</c:v>
                </c:pt>
              </c:strCache>
            </c:strRef>
          </c:tx>
          <c:invertIfNegative val="0"/>
          <c:cat>
            <c:strRef>
              <c:f>'8.ScenarioE'!$P$56:$X$56</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'8.ScenarioE'!$P$139:$X$139</c:f>
              <c:numCache>
                <c:formatCode>0</c:formatCode>
                <c:ptCount val="9"/>
                <c:pt idx="0">
                  <c:v>507.14838450601667</c:v>
                </c:pt>
                <c:pt idx="1">
                  <c:v>501.25103479389611</c:v>
                </c:pt>
                <c:pt idx="2">
                  <c:v>499.6480620138492</c:v>
                </c:pt>
                <c:pt idx="3">
                  <c:v>499.31597842647579</c:v>
                </c:pt>
                <c:pt idx="4">
                  <c:v>503.76970522807653</c:v>
                </c:pt>
                <c:pt idx="5">
                  <c:v>505.90519981845637</c:v>
                </c:pt>
                <c:pt idx="6">
                  <c:v>508.17897767245631</c:v>
                </c:pt>
                <c:pt idx="7">
                  <c:v>510.60241938164677</c:v>
                </c:pt>
                <c:pt idx="8">
                  <c:v>513.69223360700994</c:v>
                </c:pt>
              </c:numCache>
            </c:numRef>
          </c:val>
        </c:ser>
        <c:ser>
          <c:idx val="2"/>
          <c:order val="2"/>
          <c:tx>
            <c:strRef>
              <c:f>'8.ScenarioE'!$B$140</c:f>
              <c:strCache>
                <c:ptCount val="1"/>
                <c:pt idx="0">
                  <c:v>Harness </c:v>
                </c:pt>
              </c:strCache>
            </c:strRef>
          </c:tx>
          <c:invertIfNegative val="0"/>
          <c:cat>
            <c:strRef>
              <c:f>'8.ScenarioE'!$P$56:$X$56</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'8.ScenarioE'!$P$140:$X$140</c:f>
              <c:numCache>
                <c:formatCode>0</c:formatCode>
                <c:ptCount val="9"/>
                <c:pt idx="0">
                  <c:v>101.26103596997966</c:v>
                </c:pt>
                <c:pt idx="1">
                  <c:v>99.925022998177127</c:v>
                </c:pt>
                <c:pt idx="2">
                  <c:v>99.440932751566734</c:v>
                </c:pt>
                <c:pt idx="3">
                  <c:v>99.212216189383113</c:v>
                </c:pt>
                <c:pt idx="4">
                  <c:v>99.932952944364345</c:v>
                </c:pt>
                <c:pt idx="5">
                  <c:v>100.18979788269172</c:v>
                </c:pt>
                <c:pt idx="6">
                  <c:v>100.47104888335332</c:v>
                </c:pt>
                <c:pt idx="7">
                  <c:v>100.77877625149891</c:v>
                </c:pt>
                <c:pt idx="8">
                  <c:v>101.21448461454982</c:v>
                </c:pt>
              </c:numCache>
            </c:numRef>
          </c:val>
        </c:ser>
        <c:ser>
          <c:idx val="3"/>
          <c:order val="3"/>
          <c:tx>
            <c:strRef>
              <c:f>'8.ScenarioE'!$B$142</c:f>
              <c:strCache>
                <c:ptCount val="1"/>
                <c:pt idx="0">
                  <c:v> All other industries</c:v>
                </c:pt>
              </c:strCache>
            </c:strRef>
          </c:tx>
          <c:invertIfNegative val="0"/>
          <c:cat>
            <c:strRef>
              <c:f>'8.ScenarioE'!$P$56:$X$56</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'8.ScenarioE'!$P$142:$X$142</c:f>
              <c:numCache>
                <c:formatCode>0</c:formatCode>
                <c:ptCount val="9"/>
                <c:pt idx="0">
                  <c:v>-465.54533885000274</c:v>
                </c:pt>
                <c:pt idx="1">
                  <c:v>-1126.2455592919141</c:v>
                </c:pt>
                <c:pt idx="2">
                  <c:v>-1514.1514175222255</c:v>
                </c:pt>
                <c:pt idx="3">
                  <c:v>-1736.0179584147409</c:v>
                </c:pt>
                <c:pt idx="4">
                  <c:v>-1881.4755538762547</c:v>
                </c:pt>
                <c:pt idx="5">
                  <c:v>-1955.3907195883803</c:v>
                </c:pt>
                <c:pt idx="6">
                  <c:v>-2012.8957115663216</c:v>
                </c:pt>
                <c:pt idx="7">
                  <c:v>-2042.6981039200909</c:v>
                </c:pt>
                <c:pt idx="8">
                  <c:v>-2064.4805917800404</c:v>
                </c:pt>
              </c:numCache>
            </c:numRef>
          </c:val>
        </c:ser>
        <c:dLbls>
          <c:showLegendKey val="0"/>
          <c:showVal val="0"/>
          <c:showCatName val="0"/>
          <c:showSerName val="0"/>
          <c:showPercent val="0"/>
          <c:showBubbleSize val="0"/>
        </c:dLbls>
        <c:gapWidth val="95"/>
        <c:overlap val="100"/>
        <c:axId val="337263616"/>
        <c:axId val="337265408"/>
      </c:barChart>
      <c:catAx>
        <c:axId val="337263616"/>
        <c:scaling>
          <c:orientation val="minMax"/>
        </c:scaling>
        <c:delete val="0"/>
        <c:axPos val="b"/>
        <c:majorTickMark val="none"/>
        <c:minorTickMark val="none"/>
        <c:tickLblPos val="nextTo"/>
        <c:crossAx val="337265408"/>
        <c:crosses val="autoZero"/>
        <c:auto val="1"/>
        <c:lblAlgn val="ctr"/>
        <c:lblOffset val="100"/>
        <c:noMultiLvlLbl val="0"/>
      </c:catAx>
      <c:valAx>
        <c:axId val="337265408"/>
        <c:scaling>
          <c:orientation val="minMax"/>
        </c:scaling>
        <c:delete val="0"/>
        <c:axPos val="l"/>
        <c:majorGridlines/>
        <c:title>
          <c:tx>
            <c:rich>
              <a:bodyPr/>
              <a:lstStyle/>
              <a:p>
                <a:pPr>
                  <a:defRPr/>
                </a:pPr>
                <a:r>
                  <a:rPr lang="en-AU"/>
                  <a:t>Persons</a:t>
                </a:r>
              </a:p>
            </c:rich>
          </c:tx>
          <c:layout>
            <c:manualLayout>
              <c:xMode val="edge"/>
              <c:yMode val="edge"/>
              <c:x val="8.611111111111111E-2"/>
              <c:y val="0.28366761446485855"/>
            </c:manualLayout>
          </c:layout>
          <c:overlay val="0"/>
        </c:title>
        <c:numFmt formatCode="0" sourceLinked="1"/>
        <c:majorTickMark val="none"/>
        <c:minorTickMark val="none"/>
        <c:tickLblPos val="nextTo"/>
        <c:crossAx val="337263616"/>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trendline>
            <c:trendlineType val="linear"/>
            <c:dispRSqr val="1"/>
            <c:dispEq val="1"/>
            <c:trendlineLbl>
              <c:layout>
                <c:manualLayout>
                  <c:x val="5.0132764654418197E-2"/>
                  <c:y val="0.27517825896762904"/>
                </c:manualLayout>
              </c:layout>
              <c:numFmt formatCode="General" sourceLinked="0"/>
            </c:trendlineLbl>
          </c:trendline>
          <c:val>
            <c:numRef>
              <c:f>'Appendix B State Taxes'!$C$61:$L$61</c:f>
              <c:numCache>
                <c:formatCode>#,##0</c:formatCode>
                <c:ptCount val="10"/>
                <c:pt idx="0">
                  <c:v>17475</c:v>
                </c:pt>
                <c:pt idx="1">
                  <c:v>17918</c:v>
                </c:pt>
                <c:pt idx="2">
                  <c:v>18687</c:v>
                </c:pt>
                <c:pt idx="3">
                  <c:v>20584</c:v>
                </c:pt>
                <c:pt idx="4">
                  <c:v>21545</c:v>
                </c:pt>
                <c:pt idx="5">
                  <c:v>20917</c:v>
                </c:pt>
                <c:pt idx="6">
                  <c:v>22371</c:v>
                </c:pt>
                <c:pt idx="7">
                  <c:v>23777</c:v>
                </c:pt>
                <c:pt idx="8">
                  <c:v>24113</c:v>
                </c:pt>
                <c:pt idx="9">
                  <c:v>25609</c:v>
                </c:pt>
              </c:numCache>
            </c:numRef>
          </c:val>
          <c:smooth val="0"/>
        </c:ser>
        <c:dLbls>
          <c:showLegendKey val="0"/>
          <c:showVal val="0"/>
          <c:showCatName val="0"/>
          <c:showSerName val="0"/>
          <c:showPercent val="0"/>
          <c:showBubbleSize val="0"/>
        </c:dLbls>
        <c:marker val="1"/>
        <c:smooth val="0"/>
        <c:axId val="324067712"/>
        <c:axId val="324069248"/>
      </c:lineChart>
      <c:catAx>
        <c:axId val="324067712"/>
        <c:scaling>
          <c:orientation val="minMax"/>
        </c:scaling>
        <c:delete val="0"/>
        <c:axPos val="b"/>
        <c:majorTickMark val="out"/>
        <c:minorTickMark val="none"/>
        <c:tickLblPos val="nextTo"/>
        <c:crossAx val="324069248"/>
        <c:crosses val="autoZero"/>
        <c:auto val="1"/>
        <c:lblAlgn val="ctr"/>
        <c:lblOffset val="100"/>
        <c:noMultiLvlLbl val="0"/>
      </c:catAx>
      <c:valAx>
        <c:axId val="324069248"/>
        <c:scaling>
          <c:orientation val="minMax"/>
        </c:scaling>
        <c:delete val="0"/>
        <c:axPos val="l"/>
        <c:majorGridlines/>
        <c:numFmt formatCode="#,##0" sourceLinked="1"/>
        <c:majorTickMark val="out"/>
        <c:minorTickMark val="none"/>
        <c:tickLblPos val="nextTo"/>
        <c:crossAx val="32406771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NSW net tax effect (annual)</a:t>
            </a:r>
          </a:p>
        </c:rich>
      </c:tx>
      <c:layout/>
      <c:overlay val="0"/>
    </c:title>
    <c:autoTitleDeleted val="0"/>
    <c:plotArea>
      <c:layout>
        <c:manualLayout>
          <c:layoutTarget val="inner"/>
          <c:xMode val="edge"/>
          <c:yMode val="edge"/>
          <c:x val="0.16528159883629004"/>
          <c:y val="0.15455582475267515"/>
          <c:w val="0.83464804098282896"/>
          <c:h val="0.46258294636247393"/>
        </c:manualLayout>
      </c:layout>
      <c:lineChart>
        <c:grouping val="standard"/>
        <c:varyColors val="0"/>
        <c:ser>
          <c:idx val="0"/>
          <c:order val="0"/>
          <c:tx>
            <c:strRef>
              <c:f>'3.Summary'!$M$20</c:f>
              <c:strCache>
                <c:ptCount val="1"/>
                <c:pt idx="0">
                  <c:v>Scenario B</c:v>
                </c:pt>
              </c:strCache>
            </c:strRef>
          </c:tx>
          <c:marker>
            <c:symbol val="none"/>
          </c:marker>
          <c:cat>
            <c:strRef>
              <c:f>'3.Summary'!$N$19:$V$19</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'3.Summary'!$N$20:$V$20</c:f>
              <c:numCache>
                <c:formatCode>0.0</c:formatCode>
                <c:ptCount val="9"/>
                <c:pt idx="0">
                  <c:v>-30.52859999999896</c:v>
                </c:pt>
                <c:pt idx="1">
                  <c:v>-0.65110000000186119</c:v>
                </c:pt>
                <c:pt idx="2">
                  <c:v>-0.99452999999925851</c:v>
                </c:pt>
                <c:pt idx="3">
                  <c:v>-1.1417000000003554</c:v>
                </c:pt>
                <c:pt idx="4">
                  <c:v>-1.4739000000004125</c:v>
                </c:pt>
                <c:pt idx="5">
                  <c:v>20.095400000000154</c:v>
                </c:pt>
                <c:pt idx="6">
                  <c:v>-0.64969999999902939</c:v>
                </c:pt>
                <c:pt idx="7">
                  <c:v>-0.51019999999834909</c:v>
                </c:pt>
                <c:pt idx="8">
                  <c:v>-0.44109999999818683</c:v>
                </c:pt>
              </c:numCache>
            </c:numRef>
          </c:val>
          <c:smooth val="0"/>
        </c:ser>
        <c:ser>
          <c:idx val="1"/>
          <c:order val="1"/>
          <c:tx>
            <c:strRef>
              <c:f>'3.Summary'!$M$21</c:f>
              <c:strCache>
                <c:ptCount val="1"/>
                <c:pt idx="0">
                  <c:v>Scenario C</c:v>
                </c:pt>
              </c:strCache>
            </c:strRef>
          </c:tx>
          <c:marker>
            <c:symbol val="none"/>
          </c:marker>
          <c:cat>
            <c:strRef>
              <c:f>'3.Summary'!$N$19:$V$19</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'3.Summary'!$N$21:$V$21</c:f>
              <c:numCache>
                <c:formatCode>0.0</c:formatCode>
                <c:ptCount val="9"/>
                <c:pt idx="0">
                  <c:v>-15.394999999996799</c:v>
                </c:pt>
                <c:pt idx="1">
                  <c:v>-0.32340000000476721</c:v>
                </c:pt>
                <c:pt idx="2">
                  <c:v>-0.52214000000094529</c:v>
                </c:pt>
                <c:pt idx="3">
                  <c:v>-0.61859999999433057</c:v>
                </c:pt>
                <c:pt idx="4">
                  <c:v>-0.78730000000723521</c:v>
                </c:pt>
                <c:pt idx="5">
                  <c:v>-0.85989999999583233</c:v>
                </c:pt>
                <c:pt idx="6">
                  <c:v>-0.57120000000213622</c:v>
                </c:pt>
                <c:pt idx="7">
                  <c:v>-0.54029999999693246</c:v>
                </c:pt>
                <c:pt idx="8">
                  <c:v>-0.52189999999609427</c:v>
                </c:pt>
              </c:numCache>
            </c:numRef>
          </c:val>
          <c:smooth val="0"/>
        </c:ser>
        <c:ser>
          <c:idx val="2"/>
          <c:order val="2"/>
          <c:tx>
            <c:strRef>
              <c:f>'3.Summary'!$M$22</c:f>
              <c:strCache>
                <c:ptCount val="1"/>
                <c:pt idx="0">
                  <c:v>Scenario D</c:v>
                </c:pt>
              </c:strCache>
            </c:strRef>
          </c:tx>
          <c:marker>
            <c:symbol val="none"/>
          </c:marker>
          <c:cat>
            <c:strRef>
              <c:f>'3.Summary'!$N$19:$V$19</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'3.Summary'!$N$22:$V$22</c:f>
              <c:numCache>
                <c:formatCode>0.0</c:formatCode>
                <c:ptCount val="9"/>
                <c:pt idx="0">
                  <c:v>0.31160000000068067</c:v>
                </c:pt>
                <c:pt idx="1">
                  <c:v>-0.10960000000181935</c:v>
                </c:pt>
                <c:pt idx="2">
                  <c:v>-9.6639999999752035E-2</c:v>
                </c:pt>
                <c:pt idx="3">
                  <c:v>-5.5400000000872751E-2</c:v>
                </c:pt>
                <c:pt idx="4">
                  <c:v>-5.9499999999843567E-2</c:v>
                </c:pt>
                <c:pt idx="5">
                  <c:v>-3.5199999999804277E-2</c:v>
                </c:pt>
                <c:pt idx="6">
                  <c:v>-7.3399999999082866E-2</c:v>
                </c:pt>
                <c:pt idx="7">
                  <c:v>2.2800000001552689E-2</c:v>
                </c:pt>
                <c:pt idx="8">
                  <c:v>4.2500000000472937E-2</c:v>
                </c:pt>
              </c:numCache>
            </c:numRef>
          </c:val>
          <c:smooth val="0"/>
        </c:ser>
        <c:ser>
          <c:idx val="3"/>
          <c:order val="3"/>
          <c:tx>
            <c:strRef>
              <c:f>'3.Summary'!$M$23</c:f>
              <c:strCache>
                <c:ptCount val="1"/>
                <c:pt idx="0">
                  <c:v>Scenario E</c:v>
                </c:pt>
              </c:strCache>
            </c:strRef>
          </c:tx>
          <c:marker>
            <c:symbol val="none"/>
          </c:marker>
          <c:cat>
            <c:strRef>
              <c:f>'3.Summary'!$N$19:$V$19</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'3.Summary'!$N$23:$V$23</c:f>
              <c:numCache>
                <c:formatCode>0</c:formatCode>
                <c:ptCount val="9"/>
                <c:pt idx="0">
                  <c:v>-96.492199999998093</c:v>
                </c:pt>
                <c:pt idx="1">
                  <c:v>-2.1450000000004366</c:v>
                </c:pt>
                <c:pt idx="2">
                  <c:v>-3.1166299999979401</c:v>
                </c:pt>
                <c:pt idx="3">
                  <c:v>-3.4704999999996744</c:v>
                </c:pt>
                <c:pt idx="4">
                  <c:v>-4.5374000000008436</c:v>
                </c:pt>
                <c:pt idx="5">
                  <c:v>-4.0781999999999243</c:v>
                </c:pt>
                <c:pt idx="6">
                  <c:v>-3.2884999999998854</c:v>
                </c:pt>
                <c:pt idx="7">
                  <c:v>-3.3847999999991316</c:v>
                </c:pt>
                <c:pt idx="8">
                  <c:v>-3.398899999997866</c:v>
                </c:pt>
              </c:numCache>
            </c:numRef>
          </c:val>
          <c:smooth val="0"/>
        </c:ser>
        <c:dLbls>
          <c:showLegendKey val="0"/>
          <c:showVal val="0"/>
          <c:showCatName val="0"/>
          <c:showSerName val="0"/>
          <c:showPercent val="0"/>
          <c:showBubbleSize val="0"/>
        </c:dLbls>
        <c:marker val="1"/>
        <c:smooth val="0"/>
        <c:axId val="322294528"/>
        <c:axId val="322296064"/>
      </c:lineChart>
      <c:catAx>
        <c:axId val="322294528"/>
        <c:scaling>
          <c:orientation val="minMax"/>
        </c:scaling>
        <c:delete val="0"/>
        <c:axPos val="b"/>
        <c:majorTickMark val="none"/>
        <c:minorTickMark val="none"/>
        <c:tickLblPos val="nextTo"/>
        <c:crossAx val="322296064"/>
        <c:crosses val="autoZero"/>
        <c:auto val="1"/>
        <c:lblAlgn val="ctr"/>
        <c:lblOffset val="100"/>
        <c:noMultiLvlLbl val="0"/>
      </c:catAx>
      <c:valAx>
        <c:axId val="322296064"/>
        <c:scaling>
          <c:orientation val="minMax"/>
        </c:scaling>
        <c:delete val="0"/>
        <c:axPos val="l"/>
        <c:majorGridlines/>
        <c:title>
          <c:tx>
            <c:rich>
              <a:bodyPr/>
              <a:lstStyle/>
              <a:p>
                <a:pPr>
                  <a:defRPr/>
                </a:pPr>
                <a:r>
                  <a:rPr lang="en-AU"/>
                  <a:t>$million</a:t>
                </a:r>
              </a:p>
            </c:rich>
          </c:tx>
          <c:layout/>
          <c:overlay val="0"/>
        </c:title>
        <c:numFmt formatCode="0.0" sourceLinked="1"/>
        <c:majorTickMark val="none"/>
        <c:minorTickMark val="none"/>
        <c:tickLblPos val="nextTo"/>
        <c:crossAx val="32229452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NSW GSP effect (cumulative)</a:t>
            </a:r>
          </a:p>
        </c:rich>
      </c:tx>
      <c:layout/>
      <c:overlay val="0"/>
    </c:title>
    <c:autoTitleDeleted val="0"/>
    <c:plotArea>
      <c:layout>
        <c:manualLayout>
          <c:layoutTarget val="inner"/>
          <c:xMode val="edge"/>
          <c:yMode val="edge"/>
          <c:x val="0.16528159883629004"/>
          <c:y val="0.15455582475267515"/>
          <c:w val="0.83464804098282896"/>
          <c:h val="0.50104448482401243"/>
        </c:manualLayout>
      </c:layout>
      <c:lineChart>
        <c:grouping val="standard"/>
        <c:varyColors val="0"/>
        <c:ser>
          <c:idx val="0"/>
          <c:order val="0"/>
          <c:tx>
            <c:strRef>
              <c:f>'3.Summary'!$B$27</c:f>
              <c:strCache>
                <c:ptCount val="1"/>
                <c:pt idx="0">
                  <c:v>Scenario B</c:v>
                </c:pt>
              </c:strCache>
            </c:strRef>
          </c:tx>
          <c:marker>
            <c:symbol val="none"/>
          </c:marker>
          <c:cat>
            <c:strRef>
              <c:f>'3.Summary'!$C$26:$K$26</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'3.Summary'!$C$27:$K$27</c:f>
              <c:numCache>
                <c:formatCode>0.0</c:formatCode>
                <c:ptCount val="9"/>
                <c:pt idx="0">
                  <c:v>38.36026204796508</c:v>
                </c:pt>
                <c:pt idx="1">
                  <c:v>24.261688447673805</c:v>
                </c:pt>
                <c:pt idx="2">
                  <c:v>14.964370492787566</c:v>
                </c:pt>
                <c:pt idx="3">
                  <c:v>8.8107002980541438</c:v>
                </c:pt>
                <c:pt idx="4">
                  <c:v>3.9337678056908771</c:v>
                </c:pt>
                <c:pt idx="5">
                  <c:v>-30.230257775052451</c:v>
                </c:pt>
                <c:pt idx="6">
                  <c:v>-19.918104011332616</c:v>
                </c:pt>
                <c:pt idx="7">
                  <c:v>-14.093710979679599</c:v>
                </c:pt>
                <c:pt idx="8">
                  <c:v>-10.825298462179489</c:v>
                </c:pt>
              </c:numCache>
            </c:numRef>
          </c:val>
          <c:smooth val="0"/>
        </c:ser>
        <c:ser>
          <c:idx val="1"/>
          <c:order val="1"/>
          <c:tx>
            <c:strRef>
              <c:f>'3.Summary'!$B$28</c:f>
              <c:strCache>
                <c:ptCount val="1"/>
                <c:pt idx="0">
                  <c:v>Scenario C</c:v>
                </c:pt>
              </c:strCache>
            </c:strRef>
          </c:tx>
          <c:marker>
            <c:symbol val="none"/>
          </c:marker>
          <c:cat>
            <c:strRef>
              <c:f>'3.Summary'!$C$26:$K$26</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'3.Summary'!$C$28:$K$28</c:f>
              <c:numCache>
                <c:formatCode>0.0</c:formatCode>
                <c:ptCount val="9"/>
                <c:pt idx="0">
                  <c:v>21.837328017223626</c:v>
                </c:pt>
                <c:pt idx="1">
                  <c:v>13.44038907927461</c:v>
                </c:pt>
                <c:pt idx="2">
                  <c:v>8.0384376920410432</c:v>
                </c:pt>
                <c:pt idx="3">
                  <c:v>4.5095469211228192</c:v>
                </c:pt>
                <c:pt idx="4">
                  <c:v>1.8615562820341438</c:v>
                </c:pt>
                <c:pt idx="5">
                  <c:v>-2.1654871561331674</c:v>
                </c:pt>
                <c:pt idx="6">
                  <c:v>-2.4973860887112096</c:v>
                </c:pt>
                <c:pt idx="7">
                  <c:v>-2.7311488518025726</c:v>
                </c:pt>
                <c:pt idx="8">
                  <c:v>-3.0333332088775933</c:v>
                </c:pt>
              </c:numCache>
            </c:numRef>
          </c:val>
          <c:smooth val="0"/>
        </c:ser>
        <c:ser>
          <c:idx val="2"/>
          <c:order val="2"/>
          <c:tx>
            <c:strRef>
              <c:f>'3.Summary'!$B$29</c:f>
              <c:strCache>
                <c:ptCount val="1"/>
                <c:pt idx="0">
                  <c:v>Scenario D</c:v>
                </c:pt>
              </c:strCache>
            </c:strRef>
          </c:tx>
          <c:marker>
            <c:symbol val="none"/>
          </c:marker>
          <c:cat>
            <c:strRef>
              <c:f>'3.Summary'!$C$26:$K$26</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'3.Summary'!$C$29:$K$29</c:f>
              <c:numCache>
                <c:formatCode>0.0</c:formatCode>
                <c:ptCount val="9"/>
                <c:pt idx="0">
                  <c:v>-21.305888618633617</c:v>
                </c:pt>
                <c:pt idx="1">
                  <c:v>-13.342409066041</c:v>
                </c:pt>
                <c:pt idx="2">
                  <c:v>-7.9890501022455283</c:v>
                </c:pt>
                <c:pt idx="3">
                  <c:v>-4.4590649059973657</c:v>
                </c:pt>
                <c:pt idx="4">
                  <c:v>-1.5978487702086568</c:v>
                </c:pt>
                <c:pt idx="5">
                  <c:v>0.1009523686952889</c:v>
                </c:pt>
                <c:pt idx="6">
                  <c:v>1.3267302056774497</c:v>
                </c:pt>
                <c:pt idx="7">
                  <c:v>2.2148952739080414</c:v>
                </c:pt>
                <c:pt idx="8">
                  <c:v>2.9714912892086431</c:v>
                </c:pt>
              </c:numCache>
            </c:numRef>
          </c:val>
          <c:smooth val="0"/>
        </c:ser>
        <c:ser>
          <c:idx val="3"/>
          <c:order val="3"/>
          <c:tx>
            <c:strRef>
              <c:f>'3.Summary'!$B$30</c:f>
              <c:strCache>
                <c:ptCount val="1"/>
                <c:pt idx="0">
                  <c:v>Scenario E</c:v>
                </c:pt>
              </c:strCache>
            </c:strRef>
          </c:tx>
          <c:marker>
            <c:symbol val="none"/>
          </c:marker>
          <c:cat>
            <c:strRef>
              <c:f>'3.Summary'!$C$26:$K$26</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'3.Summary'!$C$30:$K$30</c:f>
              <c:numCache>
                <c:formatCode>0.0</c:formatCode>
                <c:ptCount val="9"/>
                <c:pt idx="0">
                  <c:v>117.20654373862644</c:v>
                </c:pt>
                <c:pt idx="1">
                  <c:v>72.23294723636829</c:v>
                </c:pt>
                <c:pt idx="2">
                  <c:v>42.352825489836931</c:v>
                </c:pt>
                <c:pt idx="3">
                  <c:v>22.638285079265458</c:v>
                </c:pt>
                <c:pt idx="4">
                  <c:v>6.7492269947950945</c:v>
                </c:pt>
                <c:pt idx="5">
                  <c:v>-3.7836936121365881</c:v>
                </c:pt>
                <c:pt idx="6">
                  <c:v>-12.385043555476344</c:v>
                </c:pt>
                <c:pt idx="7">
                  <c:v>-18.736946580251058</c:v>
                </c:pt>
                <c:pt idx="8">
                  <c:v>-24.172447408051895</c:v>
                </c:pt>
              </c:numCache>
            </c:numRef>
          </c:val>
          <c:smooth val="0"/>
        </c:ser>
        <c:dLbls>
          <c:showLegendKey val="0"/>
          <c:showVal val="0"/>
          <c:showCatName val="0"/>
          <c:showSerName val="0"/>
          <c:showPercent val="0"/>
          <c:showBubbleSize val="0"/>
        </c:dLbls>
        <c:marker val="1"/>
        <c:smooth val="0"/>
        <c:axId val="327719168"/>
        <c:axId val="327725056"/>
      </c:lineChart>
      <c:catAx>
        <c:axId val="327719168"/>
        <c:scaling>
          <c:orientation val="minMax"/>
        </c:scaling>
        <c:delete val="0"/>
        <c:axPos val="b"/>
        <c:majorTickMark val="none"/>
        <c:minorTickMark val="none"/>
        <c:tickLblPos val="nextTo"/>
        <c:crossAx val="327725056"/>
        <c:crosses val="autoZero"/>
        <c:auto val="1"/>
        <c:lblAlgn val="ctr"/>
        <c:lblOffset val="100"/>
        <c:noMultiLvlLbl val="0"/>
      </c:catAx>
      <c:valAx>
        <c:axId val="327725056"/>
        <c:scaling>
          <c:orientation val="minMax"/>
        </c:scaling>
        <c:delete val="0"/>
        <c:axPos val="l"/>
        <c:majorGridlines/>
        <c:title>
          <c:tx>
            <c:rich>
              <a:bodyPr/>
              <a:lstStyle/>
              <a:p>
                <a:pPr>
                  <a:defRPr/>
                </a:pPr>
                <a:r>
                  <a:rPr lang="en-AU"/>
                  <a:t>$million</a:t>
                </a:r>
              </a:p>
            </c:rich>
          </c:tx>
          <c:layout>
            <c:manualLayout>
              <c:xMode val="edge"/>
              <c:yMode val="edge"/>
              <c:x val="6.2368213009518392E-2"/>
              <c:y val="0.29233225654485495"/>
            </c:manualLayout>
          </c:layout>
          <c:overlay val="0"/>
        </c:title>
        <c:numFmt formatCode="0" sourceLinked="0"/>
        <c:majorTickMark val="none"/>
        <c:minorTickMark val="none"/>
        <c:tickLblPos val="nextTo"/>
        <c:crossAx val="32771916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NSW GSP effect (annual)</a:t>
            </a:r>
          </a:p>
        </c:rich>
      </c:tx>
      <c:layout/>
      <c:overlay val="0"/>
    </c:title>
    <c:autoTitleDeleted val="0"/>
    <c:plotArea>
      <c:layout>
        <c:manualLayout>
          <c:layoutTarget val="inner"/>
          <c:xMode val="edge"/>
          <c:yMode val="edge"/>
          <c:x val="0.16528159883629004"/>
          <c:y val="0.15455582475267515"/>
          <c:w val="0.83464804098282896"/>
          <c:h val="0.46258294636247393"/>
        </c:manualLayout>
      </c:layout>
      <c:lineChart>
        <c:grouping val="standard"/>
        <c:varyColors val="0"/>
        <c:ser>
          <c:idx val="0"/>
          <c:order val="0"/>
          <c:tx>
            <c:strRef>
              <c:f>'3.Summary'!$M$27</c:f>
              <c:strCache>
                <c:ptCount val="1"/>
                <c:pt idx="0">
                  <c:v>Scenario B</c:v>
                </c:pt>
              </c:strCache>
            </c:strRef>
          </c:tx>
          <c:marker>
            <c:symbol val="none"/>
          </c:marker>
          <c:cat>
            <c:strRef>
              <c:f>'3.Summary'!$N$26:$V$26</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'3.Summary'!$N$27:$V$27</c:f>
              <c:numCache>
                <c:formatCode>0.0</c:formatCode>
                <c:ptCount val="9"/>
                <c:pt idx="0">
                  <c:v>38.36026204796508</c:v>
                </c:pt>
                <c:pt idx="1">
                  <c:v>-14.098573600291274</c:v>
                </c:pt>
                <c:pt idx="2">
                  <c:v>-9.297317954886239</c:v>
                </c:pt>
                <c:pt idx="3">
                  <c:v>-6.1536701947334222</c:v>
                </c:pt>
                <c:pt idx="4">
                  <c:v>-4.8769324923632666</c:v>
                </c:pt>
                <c:pt idx="5">
                  <c:v>-34.164025580743328</c:v>
                </c:pt>
                <c:pt idx="6">
                  <c:v>10.312153763719834</c:v>
                </c:pt>
                <c:pt idx="7">
                  <c:v>5.8243930316530168</c:v>
                </c:pt>
                <c:pt idx="8">
                  <c:v>3.26841251750011</c:v>
                </c:pt>
              </c:numCache>
            </c:numRef>
          </c:val>
          <c:smooth val="0"/>
        </c:ser>
        <c:ser>
          <c:idx val="1"/>
          <c:order val="1"/>
          <c:tx>
            <c:strRef>
              <c:f>'3.Summary'!$M$28</c:f>
              <c:strCache>
                <c:ptCount val="1"/>
                <c:pt idx="0">
                  <c:v>Scenario C</c:v>
                </c:pt>
              </c:strCache>
            </c:strRef>
          </c:tx>
          <c:marker>
            <c:symbol val="none"/>
          </c:marker>
          <c:cat>
            <c:strRef>
              <c:f>'3.Summary'!$N$26:$V$26</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'3.Summary'!$N$28:$V$28</c:f>
              <c:numCache>
                <c:formatCode>0.0</c:formatCode>
                <c:ptCount val="9"/>
                <c:pt idx="0">
                  <c:v>21.837328017223626</c:v>
                </c:pt>
                <c:pt idx="1">
                  <c:v>-8.3969389379490167</c:v>
                </c:pt>
                <c:pt idx="2">
                  <c:v>-5.4019513872335665</c:v>
                </c:pt>
                <c:pt idx="3">
                  <c:v>-3.528890770918224</c:v>
                </c:pt>
                <c:pt idx="4">
                  <c:v>-2.6479906390886754</c:v>
                </c:pt>
                <c:pt idx="5">
                  <c:v>-4.0270434381673113</c:v>
                </c:pt>
                <c:pt idx="6">
                  <c:v>-0.33189893257804215</c:v>
                </c:pt>
                <c:pt idx="7">
                  <c:v>-0.23376276309136301</c:v>
                </c:pt>
                <c:pt idx="8">
                  <c:v>-0.30218435707502067</c:v>
                </c:pt>
              </c:numCache>
            </c:numRef>
          </c:val>
          <c:smooth val="0"/>
        </c:ser>
        <c:ser>
          <c:idx val="2"/>
          <c:order val="2"/>
          <c:tx>
            <c:strRef>
              <c:f>'3.Summary'!$M$29</c:f>
              <c:strCache>
                <c:ptCount val="1"/>
                <c:pt idx="0">
                  <c:v>Scenario D</c:v>
                </c:pt>
              </c:strCache>
            </c:strRef>
          </c:tx>
          <c:marker>
            <c:symbol val="none"/>
          </c:marker>
          <c:cat>
            <c:strRef>
              <c:f>'3.Summary'!$N$26:$V$26</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'3.Summary'!$N$29:$V$29</c:f>
              <c:numCache>
                <c:formatCode>0.0</c:formatCode>
                <c:ptCount val="9"/>
                <c:pt idx="0">
                  <c:v>-21.305888618633617</c:v>
                </c:pt>
                <c:pt idx="1">
                  <c:v>7.9634795525926165</c:v>
                </c:pt>
                <c:pt idx="2">
                  <c:v>5.3533589637954719</c:v>
                </c:pt>
                <c:pt idx="3">
                  <c:v>3.5299851962481625</c:v>
                </c:pt>
                <c:pt idx="4">
                  <c:v>2.8612161357887089</c:v>
                </c:pt>
                <c:pt idx="5">
                  <c:v>1.6988011389039457</c:v>
                </c:pt>
                <c:pt idx="6">
                  <c:v>1.2257778369821608</c:v>
                </c:pt>
                <c:pt idx="7">
                  <c:v>0.88816506823059171</c:v>
                </c:pt>
                <c:pt idx="8">
                  <c:v>0.75659601530060172</c:v>
                </c:pt>
              </c:numCache>
            </c:numRef>
          </c:val>
          <c:smooth val="0"/>
        </c:ser>
        <c:ser>
          <c:idx val="3"/>
          <c:order val="3"/>
          <c:tx>
            <c:strRef>
              <c:f>'3.Summary'!$M$30</c:f>
              <c:strCache>
                <c:ptCount val="1"/>
                <c:pt idx="0">
                  <c:v>Scenario E</c:v>
                </c:pt>
              </c:strCache>
            </c:strRef>
          </c:tx>
          <c:marker>
            <c:symbol val="none"/>
          </c:marker>
          <c:cat>
            <c:strRef>
              <c:f>'3.Summary'!$N$26:$V$26</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'3.Summary'!$N$30:$V$30</c:f>
              <c:numCache>
                <c:formatCode>0</c:formatCode>
                <c:ptCount val="9"/>
                <c:pt idx="0">
                  <c:v>117.20654373862644</c:v>
                </c:pt>
                <c:pt idx="1">
                  <c:v>-44.973596502258147</c:v>
                </c:pt>
                <c:pt idx="2">
                  <c:v>-29.880121746531358</c:v>
                </c:pt>
                <c:pt idx="3">
                  <c:v>-19.714540410571473</c:v>
                </c:pt>
                <c:pt idx="4">
                  <c:v>-15.889058084470363</c:v>
                </c:pt>
                <c:pt idx="5">
                  <c:v>-10.532920606931683</c:v>
                </c:pt>
                <c:pt idx="6">
                  <c:v>-8.6013499433397556</c:v>
                </c:pt>
                <c:pt idx="7">
                  <c:v>-6.3519030247747139</c:v>
                </c:pt>
                <c:pt idx="8">
                  <c:v>-5.435500827800837</c:v>
                </c:pt>
              </c:numCache>
            </c:numRef>
          </c:val>
          <c:smooth val="0"/>
        </c:ser>
        <c:dLbls>
          <c:showLegendKey val="0"/>
          <c:showVal val="0"/>
          <c:showCatName val="0"/>
          <c:showSerName val="0"/>
          <c:showPercent val="0"/>
          <c:showBubbleSize val="0"/>
        </c:dLbls>
        <c:marker val="1"/>
        <c:smooth val="0"/>
        <c:axId val="327770112"/>
        <c:axId val="327771648"/>
      </c:lineChart>
      <c:catAx>
        <c:axId val="327770112"/>
        <c:scaling>
          <c:orientation val="minMax"/>
        </c:scaling>
        <c:delete val="0"/>
        <c:axPos val="b"/>
        <c:majorTickMark val="none"/>
        <c:minorTickMark val="none"/>
        <c:tickLblPos val="nextTo"/>
        <c:crossAx val="327771648"/>
        <c:crosses val="autoZero"/>
        <c:auto val="1"/>
        <c:lblAlgn val="ctr"/>
        <c:lblOffset val="100"/>
        <c:noMultiLvlLbl val="0"/>
      </c:catAx>
      <c:valAx>
        <c:axId val="327771648"/>
        <c:scaling>
          <c:orientation val="minMax"/>
        </c:scaling>
        <c:delete val="0"/>
        <c:axPos val="l"/>
        <c:majorGridlines/>
        <c:title>
          <c:tx>
            <c:rich>
              <a:bodyPr/>
              <a:lstStyle/>
              <a:p>
                <a:pPr>
                  <a:defRPr/>
                </a:pPr>
                <a:r>
                  <a:rPr lang="en-AU"/>
                  <a:t>$million</a:t>
                </a:r>
              </a:p>
            </c:rich>
          </c:tx>
          <c:layout/>
          <c:overlay val="0"/>
        </c:title>
        <c:numFmt formatCode="0" sourceLinked="0"/>
        <c:majorTickMark val="none"/>
        <c:minorTickMark val="none"/>
        <c:tickLblPos val="nextTo"/>
        <c:crossAx val="327770112"/>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NSW fiscal effect, annual</a:t>
            </a:r>
          </a:p>
        </c:rich>
      </c:tx>
      <c:layout/>
      <c:overlay val="0"/>
    </c:title>
    <c:autoTitleDeleted val="0"/>
    <c:plotArea>
      <c:layout/>
      <c:barChart>
        <c:barDir val="col"/>
        <c:grouping val="clustered"/>
        <c:varyColors val="0"/>
        <c:ser>
          <c:idx val="0"/>
          <c:order val="0"/>
          <c:invertIfNegative val="0"/>
          <c:cat>
            <c:strRef>
              <c:f>'5.ScenarioB'!$P$12:$X$12</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'5.ScenarioB'!$P$17:$X$17</c:f>
              <c:numCache>
                <c:formatCode>0.0</c:formatCode>
                <c:ptCount val="9"/>
                <c:pt idx="0">
                  <c:v>-30.206846376958822</c:v>
                </c:pt>
                <c:pt idx="1">
                  <c:v>-30.510223000366409</c:v>
                </c:pt>
                <c:pt idx="2">
                  <c:v>-30.849754428635976</c:v>
                </c:pt>
                <c:pt idx="3">
                  <c:v>-31.176281993624087</c:v>
                </c:pt>
                <c:pt idx="4">
                  <c:v>-31.376315424087352</c:v>
                </c:pt>
                <c:pt idx="5">
                  <c:v>-15.791218968469543</c:v>
                </c:pt>
                <c:pt idx="6">
                  <c:v>-15.915030435556936</c:v>
                </c:pt>
                <c:pt idx="7">
                  <c:v>-16.039438682865836</c:v>
                </c:pt>
                <c:pt idx="8">
                  <c:v>-16.167269046390196</c:v>
                </c:pt>
              </c:numCache>
            </c:numRef>
          </c:val>
        </c:ser>
        <c:dLbls>
          <c:showLegendKey val="0"/>
          <c:showVal val="0"/>
          <c:showCatName val="0"/>
          <c:showSerName val="0"/>
          <c:showPercent val="0"/>
          <c:showBubbleSize val="0"/>
        </c:dLbls>
        <c:gapWidth val="150"/>
        <c:axId val="327781376"/>
        <c:axId val="327799552"/>
      </c:barChart>
      <c:catAx>
        <c:axId val="327781376"/>
        <c:scaling>
          <c:orientation val="minMax"/>
        </c:scaling>
        <c:delete val="0"/>
        <c:axPos val="b"/>
        <c:majorTickMark val="none"/>
        <c:minorTickMark val="none"/>
        <c:tickLblPos val="low"/>
        <c:crossAx val="327799552"/>
        <c:crosses val="autoZero"/>
        <c:auto val="1"/>
        <c:lblAlgn val="ctr"/>
        <c:lblOffset val="100"/>
        <c:noMultiLvlLbl val="0"/>
      </c:catAx>
      <c:valAx>
        <c:axId val="327799552"/>
        <c:scaling>
          <c:orientation val="minMax"/>
        </c:scaling>
        <c:delete val="0"/>
        <c:axPos val="l"/>
        <c:majorGridlines/>
        <c:title>
          <c:tx>
            <c:rich>
              <a:bodyPr/>
              <a:lstStyle/>
              <a:p>
                <a:pPr>
                  <a:defRPr/>
                </a:pPr>
                <a:r>
                  <a:rPr lang="en-AU"/>
                  <a:t>$ million</a:t>
                </a:r>
              </a:p>
            </c:rich>
          </c:tx>
          <c:layout/>
          <c:overlay val="0"/>
        </c:title>
        <c:numFmt formatCode="0" sourceLinked="0"/>
        <c:majorTickMark val="none"/>
        <c:minorTickMark val="none"/>
        <c:tickLblPos val="nextTo"/>
        <c:crossAx val="327781376"/>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NSW fiscal effect, cumulative</a:t>
            </a:r>
          </a:p>
        </c:rich>
      </c:tx>
      <c:layout/>
      <c:overlay val="0"/>
    </c:title>
    <c:autoTitleDeleted val="0"/>
    <c:plotArea>
      <c:layout/>
      <c:barChart>
        <c:barDir val="col"/>
        <c:grouping val="clustered"/>
        <c:varyColors val="0"/>
        <c:ser>
          <c:idx val="0"/>
          <c:order val="0"/>
          <c:invertIfNegative val="0"/>
          <c:dLbls>
            <c:dLbl>
              <c:idx val="4"/>
              <c:layout/>
              <c:showLegendKey val="0"/>
              <c:showVal val="1"/>
              <c:showCatName val="0"/>
              <c:showSerName val="0"/>
              <c:showPercent val="0"/>
              <c:showBubbleSize val="0"/>
            </c:dLbl>
            <c:showLegendKey val="0"/>
            <c:showVal val="0"/>
            <c:showCatName val="0"/>
            <c:showSerName val="0"/>
            <c:showPercent val="0"/>
            <c:showBubbleSize val="0"/>
          </c:dLbls>
          <c:cat>
            <c:strRef>
              <c:f>'5.ScenarioB'!$P$12:$X$12</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'5.ScenarioB'!$P$18:$X$18</c:f>
              <c:numCache>
                <c:formatCode>0.0</c:formatCode>
                <c:ptCount val="9"/>
                <c:pt idx="0">
                  <c:v>-30.206846376958822</c:v>
                </c:pt>
                <c:pt idx="1">
                  <c:v>-60.717069377325231</c:v>
                </c:pt>
                <c:pt idx="2">
                  <c:v>-91.566823805961207</c:v>
                </c:pt>
                <c:pt idx="3">
                  <c:v>-122.74310579958529</c:v>
                </c:pt>
                <c:pt idx="4">
                  <c:v>-154.11942122367265</c:v>
                </c:pt>
                <c:pt idx="5">
                  <c:v>-169.91064019214218</c:v>
                </c:pt>
                <c:pt idx="6">
                  <c:v>-185.82567062769911</c:v>
                </c:pt>
                <c:pt idx="7">
                  <c:v>-201.86510931056495</c:v>
                </c:pt>
                <c:pt idx="8">
                  <c:v>-218.03237835695515</c:v>
                </c:pt>
              </c:numCache>
            </c:numRef>
          </c:val>
        </c:ser>
        <c:dLbls>
          <c:showLegendKey val="0"/>
          <c:showVal val="0"/>
          <c:showCatName val="0"/>
          <c:showSerName val="0"/>
          <c:showPercent val="0"/>
          <c:showBubbleSize val="0"/>
        </c:dLbls>
        <c:gapWidth val="150"/>
        <c:axId val="324417024"/>
        <c:axId val="324418560"/>
      </c:barChart>
      <c:catAx>
        <c:axId val="324417024"/>
        <c:scaling>
          <c:orientation val="minMax"/>
        </c:scaling>
        <c:delete val="0"/>
        <c:axPos val="b"/>
        <c:majorTickMark val="none"/>
        <c:minorTickMark val="none"/>
        <c:tickLblPos val="low"/>
        <c:crossAx val="324418560"/>
        <c:crosses val="autoZero"/>
        <c:auto val="1"/>
        <c:lblAlgn val="ctr"/>
        <c:lblOffset val="100"/>
        <c:noMultiLvlLbl val="0"/>
      </c:catAx>
      <c:valAx>
        <c:axId val="324418560"/>
        <c:scaling>
          <c:orientation val="minMax"/>
        </c:scaling>
        <c:delete val="0"/>
        <c:axPos val="l"/>
        <c:majorGridlines/>
        <c:title>
          <c:tx>
            <c:rich>
              <a:bodyPr/>
              <a:lstStyle/>
              <a:p>
                <a:pPr>
                  <a:defRPr/>
                </a:pPr>
                <a:r>
                  <a:rPr lang="en-AU"/>
                  <a:t>$ million</a:t>
                </a:r>
              </a:p>
            </c:rich>
          </c:tx>
          <c:layout/>
          <c:overlay val="0"/>
        </c:title>
        <c:numFmt formatCode="0" sourceLinked="0"/>
        <c:majorTickMark val="none"/>
        <c:minorTickMark val="none"/>
        <c:tickLblPos val="nextTo"/>
        <c:crossAx val="324417024"/>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NSW GSP effect, cumulative</a:t>
            </a:r>
          </a:p>
        </c:rich>
      </c:tx>
      <c:layout/>
      <c:overlay val="0"/>
    </c:title>
    <c:autoTitleDeleted val="0"/>
    <c:plotArea>
      <c:layout/>
      <c:barChart>
        <c:barDir val="col"/>
        <c:grouping val="clustered"/>
        <c:varyColors val="0"/>
        <c:ser>
          <c:idx val="0"/>
          <c:order val="0"/>
          <c:invertIfNegative val="0"/>
          <c:cat>
            <c:strRef>
              <c:f>'5.ScenarioB'!$P$47:$X$47</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'5.ScenarioB'!$P$100:$X$100</c:f>
              <c:numCache>
                <c:formatCode>0</c:formatCode>
                <c:ptCount val="9"/>
                <c:pt idx="0">
                  <c:v>38.36026204796508</c:v>
                </c:pt>
                <c:pt idx="1">
                  <c:v>24.261688447673805</c:v>
                </c:pt>
                <c:pt idx="2">
                  <c:v>14.964370492787566</c:v>
                </c:pt>
                <c:pt idx="3">
                  <c:v>8.8107002980541438</c:v>
                </c:pt>
                <c:pt idx="4">
                  <c:v>3.9337678056908771</c:v>
                </c:pt>
                <c:pt idx="5">
                  <c:v>-30.230257775052451</c:v>
                </c:pt>
                <c:pt idx="6">
                  <c:v>-19.918104011332616</c:v>
                </c:pt>
                <c:pt idx="7">
                  <c:v>-14.093710979679599</c:v>
                </c:pt>
                <c:pt idx="8">
                  <c:v>-10.825298462179489</c:v>
                </c:pt>
              </c:numCache>
            </c:numRef>
          </c:val>
        </c:ser>
        <c:dLbls>
          <c:showLegendKey val="0"/>
          <c:showVal val="0"/>
          <c:showCatName val="0"/>
          <c:showSerName val="0"/>
          <c:showPercent val="0"/>
          <c:showBubbleSize val="0"/>
        </c:dLbls>
        <c:gapWidth val="150"/>
        <c:axId val="324451328"/>
        <c:axId val="324453120"/>
      </c:barChart>
      <c:catAx>
        <c:axId val="324451328"/>
        <c:scaling>
          <c:orientation val="minMax"/>
        </c:scaling>
        <c:delete val="0"/>
        <c:axPos val="b"/>
        <c:majorTickMark val="none"/>
        <c:minorTickMark val="none"/>
        <c:tickLblPos val="low"/>
        <c:crossAx val="324453120"/>
        <c:crosses val="autoZero"/>
        <c:auto val="1"/>
        <c:lblAlgn val="ctr"/>
        <c:lblOffset val="100"/>
        <c:noMultiLvlLbl val="0"/>
      </c:catAx>
      <c:valAx>
        <c:axId val="324453120"/>
        <c:scaling>
          <c:orientation val="minMax"/>
        </c:scaling>
        <c:delete val="0"/>
        <c:axPos val="l"/>
        <c:majorGridlines/>
        <c:title>
          <c:tx>
            <c:rich>
              <a:bodyPr/>
              <a:lstStyle/>
              <a:p>
                <a:pPr>
                  <a:defRPr/>
                </a:pPr>
                <a:r>
                  <a:rPr lang="en-US"/>
                  <a:t>$ million</a:t>
                </a:r>
              </a:p>
            </c:rich>
          </c:tx>
          <c:layout/>
          <c:overlay val="0"/>
        </c:title>
        <c:numFmt formatCode="0" sourceLinked="1"/>
        <c:majorTickMark val="none"/>
        <c:minorTickMark val="none"/>
        <c:tickLblPos val="nextTo"/>
        <c:crossAx val="32445132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18" Type="http://schemas.openxmlformats.org/officeDocument/2006/relationships/chart" Target="../charts/chart17.xml"/><Relationship Id="rId26" Type="http://schemas.openxmlformats.org/officeDocument/2006/relationships/chart" Target="../charts/chart25.xml"/><Relationship Id="rId3" Type="http://schemas.openxmlformats.org/officeDocument/2006/relationships/chart" Target="../charts/chart2.xml"/><Relationship Id="rId21" Type="http://schemas.openxmlformats.org/officeDocument/2006/relationships/chart" Target="../charts/chart20.xml"/><Relationship Id="rId34" Type="http://schemas.openxmlformats.org/officeDocument/2006/relationships/chart" Target="../charts/chart33.xml"/><Relationship Id="rId7" Type="http://schemas.openxmlformats.org/officeDocument/2006/relationships/chart" Target="../charts/chart6.xml"/><Relationship Id="rId12" Type="http://schemas.openxmlformats.org/officeDocument/2006/relationships/chart" Target="../charts/chart11.xml"/><Relationship Id="rId17" Type="http://schemas.openxmlformats.org/officeDocument/2006/relationships/chart" Target="../charts/chart16.xml"/><Relationship Id="rId25" Type="http://schemas.openxmlformats.org/officeDocument/2006/relationships/chart" Target="../charts/chart24.xml"/><Relationship Id="rId33" Type="http://schemas.openxmlformats.org/officeDocument/2006/relationships/chart" Target="../charts/chart32.xml"/><Relationship Id="rId38" Type="http://schemas.openxmlformats.org/officeDocument/2006/relationships/chart" Target="../charts/chart37.xml"/><Relationship Id="rId2" Type="http://schemas.openxmlformats.org/officeDocument/2006/relationships/chart" Target="../charts/chart1.xml"/><Relationship Id="rId16" Type="http://schemas.openxmlformats.org/officeDocument/2006/relationships/chart" Target="../charts/chart15.xml"/><Relationship Id="rId20" Type="http://schemas.openxmlformats.org/officeDocument/2006/relationships/chart" Target="../charts/chart19.xml"/><Relationship Id="rId29" Type="http://schemas.openxmlformats.org/officeDocument/2006/relationships/chart" Target="../charts/chart28.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10.xml"/><Relationship Id="rId24" Type="http://schemas.openxmlformats.org/officeDocument/2006/relationships/chart" Target="../charts/chart23.xml"/><Relationship Id="rId32" Type="http://schemas.openxmlformats.org/officeDocument/2006/relationships/chart" Target="../charts/chart31.xml"/><Relationship Id="rId37" Type="http://schemas.openxmlformats.org/officeDocument/2006/relationships/chart" Target="../charts/chart36.xml"/><Relationship Id="rId5" Type="http://schemas.openxmlformats.org/officeDocument/2006/relationships/chart" Target="../charts/chart4.xml"/><Relationship Id="rId15" Type="http://schemas.openxmlformats.org/officeDocument/2006/relationships/chart" Target="../charts/chart14.xml"/><Relationship Id="rId23" Type="http://schemas.openxmlformats.org/officeDocument/2006/relationships/chart" Target="../charts/chart22.xml"/><Relationship Id="rId28" Type="http://schemas.openxmlformats.org/officeDocument/2006/relationships/chart" Target="../charts/chart27.xml"/><Relationship Id="rId36" Type="http://schemas.openxmlformats.org/officeDocument/2006/relationships/chart" Target="../charts/chart35.xml"/><Relationship Id="rId10" Type="http://schemas.openxmlformats.org/officeDocument/2006/relationships/chart" Target="../charts/chart9.xml"/><Relationship Id="rId19" Type="http://schemas.openxmlformats.org/officeDocument/2006/relationships/chart" Target="../charts/chart18.xml"/><Relationship Id="rId31" Type="http://schemas.openxmlformats.org/officeDocument/2006/relationships/chart" Target="../charts/chart30.xml"/><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chart" Target="../charts/chart21.xml"/><Relationship Id="rId27" Type="http://schemas.openxmlformats.org/officeDocument/2006/relationships/chart" Target="../charts/chart26.xml"/><Relationship Id="rId30" Type="http://schemas.openxmlformats.org/officeDocument/2006/relationships/chart" Target="../charts/chart29.xml"/><Relationship Id="rId35" Type="http://schemas.openxmlformats.org/officeDocument/2006/relationships/chart" Target="../charts/chart34.xml"/></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9525</xdr:colOff>
      <xdr:row>0</xdr:row>
      <xdr:rowOff>0</xdr:rowOff>
    </xdr:from>
    <xdr:to>
      <xdr:col>12</xdr:col>
      <xdr:colOff>483870</xdr:colOff>
      <xdr:row>46</xdr:row>
      <xdr:rowOff>103505</xdr:rowOff>
    </xdr:to>
    <xdr:grpSp>
      <xdr:nvGrpSpPr>
        <xdr:cNvPr id="2" name="Group 1"/>
        <xdr:cNvGrpSpPr>
          <a:grpSpLocks/>
        </xdr:cNvGrpSpPr>
      </xdr:nvGrpSpPr>
      <xdr:grpSpPr bwMode="auto">
        <a:xfrm>
          <a:off x="1381125" y="0"/>
          <a:ext cx="5351145" cy="8866505"/>
          <a:chOff x="3311" y="1531"/>
          <a:chExt cx="8202" cy="13765"/>
        </a:xfrm>
      </xdr:grpSpPr>
      <xdr:sp macro="" textlink="">
        <xdr:nvSpPr>
          <xdr:cNvPr id="3" name="Rectangle 2"/>
          <xdr:cNvSpPr>
            <a:spLocks noChangeArrowheads="1"/>
          </xdr:cNvSpPr>
        </xdr:nvSpPr>
        <xdr:spPr bwMode="auto">
          <a:xfrm>
            <a:off x="3311" y="8418"/>
            <a:ext cx="7460" cy="6878"/>
          </a:xfrm>
          <a:prstGeom prst="rect">
            <a:avLst/>
          </a:prstGeom>
          <a:solidFill>
            <a:srgbClr val="F3BC87"/>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AU"/>
          </a:p>
        </xdr:txBody>
      </xdr:sp>
      <xdr:sp macro="" textlink="">
        <xdr:nvSpPr>
          <xdr:cNvPr id="4" name="Rectangle 3"/>
          <xdr:cNvSpPr>
            <a:spLocks noChangeArrowheads="1"/>
          </xdr:cNvSpPr>
        </xdr:nvSpPr>
        <xdr:spPr bwMode="auto">
          <a:xfrm>
            <a:off x="3311" y="1531"/>
            <a:ext cx="6314" cy="13765"/>
          </a:xfrm>
          <a:prstGeom prst="rect">
            <a:avLst/>
          </a:prstGeom>
          <a:solidFill>
            <a:srgbClr val="EE9C34"/>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AU"/>
          </a:p>
        </xdr:txBody>
      </xdr:sp>
      <xdr:sp macro="" textlink="">
        <xdr:nvSpPr>
          <xdr:cNvPr id="5" name="Rectangle 4"/>
          <xdr:cNvSpPr>
            <a:spLocks noChangeArrowheads="1"/>
          </xdr:cNvSpPr>
        </xdr:nvSpPr>
        <xdr:spPr bwMode="auto">
          <a:xfrm>
            <a:off x="3311" y="10138"/>
            <a:ext cx="8202" cy="5158"/>
          </a:xfrm>
          <a:prstGeom prst="rect">
            <a:avLst/>
          </a:prstGeom>
          <a:solidFill>
            <a:srgbClr val="F3BE26"/>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AU"/>
          </a:p>
        </xdr:txBody>
      </xdr:sp>
      <xdr:sp macro="" textlink="">
        <xdr:nvSpPr>
          <xdr:cNvPr id="6" name="Rectangle 5"/>
          <xdr:cNvSpPr>
            <a:spLocks noChangeArrowheads="1"/>
          </xdr:cNvSpPr>
        </xdr:nvSpPr>
        <xdr:spPr bwMode="auto">
          <a:xfrm>
            <a:off x="3311" y="2399"/>
            <a:ext cx="6929" cy="12897"/>
          </a:xfrm>
          <a:prstGeom prst="rect">
            <a:avLst/>
          </a:prstGeom>
          <a:solidFill>
            <a:srgbClr val="E669A2"/>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AU"/>
          </a:p>
        </xdr:txBody>
      </xdr:sp>
      <xdr:sp macro="" textlink="">
        <xdr:nvSpPr>
          <xdr:cNvPr id="7" name="Rectangle 6"/>
          <xdr:cNvSpPr>
            <a:spLocks noChangeArrowheads="1"/>
          </xdr:cNvSpPr>
        </xdr:nvSpPr>
        <xdr:spPr bwMode="auto">
          <a:xfrm>
            <a:off x="3311" y="10138"/>
            <a:ext cx="7460" cy="5158"/>
          </a:xfrm>
          <a:prstGeom prst="rect">
            <a:avLst/>
          </a:prstGeom>
          <a:solidFill>
            <a:srgbClr val="E88C14"/>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AU"/>
          </a:p>
        </xdr:txBody>
      </xdr:sp>
      <xdr:sp macro="" textlink="">
        <xdr:nvSpPr>
          <xdr:cNvPr id="8" name="Rectangle 7"/>
          <xdr:cNvSpPr>
            <a:spLocks noChangeArrowheads="1"/>
          </xdr:cNvSpPr>
        </xdr:nvSpPr>
        <xdr:spPr bwMode="auto">
          <a:xfrm>
            <a:off x="3311" y="2399"/>
            <a:ext cx="6314" cy="12897"/>
          </a:xfrm>
          <a:prstGeom prst="rect">
            <a:avLst/>
          </a:prstGeom>
          <a:solidFill>
            <a:srgbClr val="D7402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AU"/>
          </a:p>
        </xdr:txBody>
      </xdr:sp>
      <xdr:sp macro="" textlink="">
        <xdr:nvSpPr>
          <xdr:cNvPr id="9" name="Rectangle 8"/>
          <xdr:cNvSpPr>
            <a:spLocks noChangeArrowheads="1"/>
          </xdr:cNvSpPr>
        </xdr:nvSpPr>
        <xdr:spPr bwMode="auto">
          <a:xfrm>
            <a:off x="3311" y="8418"/>
            <a:ext cx="6929" cy="6878"/>
          </a:xfrm>
          <a:prstGeom prst="rect">
            <a:avLst/>
          </a:prstGeom>
          <a:solidFill>
            <a:srgbClr val="DB4D56"/>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0" name="Rectangle 9"/>
          <xdr:cNvSpPr>
            <a:spLocks noChangeArrowheads="1"/>
          </xdr:cNvSpPr>
        </xdr:nvSpPr>
        <xdr:spPr bwMode="auto">
          <a:xfrm>
            <a:off x="3311" y="10138"/>
            <a:ext cx="6929" cy="5158"/>
          </a:xfrm>
          <a:prstGeom prst="rect">
            <a:avLst/>
          </a:prstGeom>
          <a:solidFill>
            <a:srgbClr val="D13A0D"/>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1" name="Rectangle 10"/>
          <xdr:cNvSpPr>
            <a:spLocks noChangeArrowheads="1"/>
          </xdr:cNvSpPr>
        </xdr:nvSpPr>
        <xdr:spPr bwMode="auto">
          <a:xfrm>
            <a:off x="3311" y="8418"/>
            <a:ext cx="6314" cy="6878"/>
          </a:xfrm>
          <a:prstGeom prst="rect">
            <a:avLst/>
          </a:prstGeom>
          <a:solidFill>
            <a:srgbClr val="CD2F12"/>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2" name="Rectangle 11"/>
          <xdr:cNvSpPr>
            <a:spLocks noChangeArrowheads="1"/>
          </xdr:cNvSpPr>
        </xdr:nvSpPr>
        <xdr:spPr bwMode="auto">
          <a:xfrm>
            <a:off x="3311" y="10138"/>
            <a:ext cx="6314" cy="5158"/>
          </a:xfrm>
          <a:prstGeom prst="rect">
            <a:avLst/>
          </a:prstGeom>
          <a:solidFill>
            <a:srgbClr val="C4230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3" name="Rectangle 12"/>
          <xdr:cNvSpPr>
            <a:spLocks noChangeArrowheads="1"/>
          </xdr:cNvSpPr>
        </xdr:nvSpPr>
        <xdr:spPr bwMode="auto">
          <a:xfrm>
            <a:off x="3311" y="11857"/>
            <a:ext cx="3486" cy="3439"/>
          </a:xfrm>
          <a:prstGeom prst="rect">
            <a:avLst/>
          </a:prstGeom>
          <a:solidFill>
            <a:srgbClr val="9A1702"/>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AU"/>
          </a:p>
        </xdr:txBody>
      </xdr:sp>
    </xdr:grpSp>
    <xdr:clientData/>
  </xdr:twoCellAnchor>
  <xdr:twoCellAnchor>
    <xdr:from>
      <xdr:col>4</xdr:col>
      <xdr:colOff>28574</xdr:colOff>
      <xdr:row>2</xdr:row>
      <xdr:rowOff>190499</xdr:rowOff>
    </xdr:from>
    <xdr:to>
      <xdr:col>10</xdr:col>
      <xdr:colOff>476250</xdr:colOff>
      <xdr:row>19</xdr:row>
      <xdr:rowOff>66675</xdr:rowOff>
    </xdr:to>
    <xdr:sp macro="" textlink="">
      <xdr:nvSpPr>
        <xdr:cNvPr id="14" name="TextBox 13"/>
        <xdr:cNvSpPr txBox="1"/>
      </xdr:nvSpPr>
      <xdr:spPr>
        <a:xfrm>
          <a:off x="1219199" y="571499"/>
          <a:ext cx="4105276" cy="3114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3600" b="0" i="1">
              <a:solidFill>
                <a:schemeClr val="bg1"/>
              </a:solidFill>
              <a:latin typeface="Georgia" panose="02040502050405020303" pitchFamily="18" charset="0"/>
            </a:rPr>
            <a:t>Economic effects of fiscal support for the NSW Greyhound</a:t>
          </a:r>
          <a:r>
            <a:rPr lang="en-AU" sz="3600" b="0" i="1" baseline="0">
              <a:solidFill>
                <a:schemeClr val="bg1"/>
              </a:solidFill>
              <a:latin typeface="Georgia" panose="02040502050405020303" pitchFamily="18" charset="0"/>
            </a:rPr>
            <a:t> racing industry</a:t>
          </a:r>
          <a:endParaRPr lang="en-AU" sz="3600" b="0" i="1">
            <a:solidFill>
              <a:schemeClr val="bg1"/>
            </a:solidFill>
            <a:latin typeface="Georgia" panose="02040502050405020303" pitchFamily="18" charset="0"/>
          </a:endParaRPr>
        </a:p>
      </xdr:txBody>
    </xdr:sp>
    <xdr:clientData/>
  </xdr:twoCellAnchor>
  <xdr:twoCellAnchor>
    <xdr:from>
      <xdr:col>4</xdr:col>
      <xdr:colOff>9524</xdr:colOff>
      <xdr:row>23</xdr:row>
      <xdr:rowOff>76200</xdr:rowOff>
    </xdr:from>
    <xdr:to>
      <xdr:col>11</xdr:col>
      <xdr:colOff>57149</xdr:colOff>
      <xdr:row>39</xdr:row>
      <xdr:rowOff>142876</xdr:rowOff>
    </xdr:to>
    <xdr:sp macro="" textlink="">
      <xdr:nvSpPr>
        <xdr:cNvPr id="15" name="TextBox 14"/>
        <xdr:cNvSpPr txBox="1"/>
      </xdr:nvSpPr>
      <xdr:spPr>
        <a:xfrm>
          <a:off x="1200149" y="4457700"/>
          <a:ext cx="4314825" cy="3114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3600" b="0" i="0" baseline="0">
              <a:solidFill>
                <a:schemeClr val="bg1"/>
              </a:solidFill>
              <a:latin typeface="Georgia" panose="02040502050405020303" pitchFamily="18" charset="0"/>
            </a:rPr>
            <a:t>Excel output of DRAFT results </a:t>
          </a:r>
          <a:br>
            <a:rPr lang="en-AU" sz="3600" b="0" i="0" baseline="0">
              <a:solidFill>
                <a:schemeClr val="bg1"/>
              </a:solidFill>
              <a:latin typeface="Georgia" panose="02040502050405020303" pitchFamily="18" charset="0"/>
            </a:rPr>
          </a:br>
          <a:endParaRPr lang="en-AU" sz="3600" b="0" i="0">
            <a:solidFill>
              <a:schemeClr val="bg1"/>
            </a:solidFill>
            <a:latin typeface="Georgia" panose="02040502050405020303"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xdr:colOff>
      <xdr:row>0</xdr:row>
      <xdr:rowOff>1</xdr:rowOff>
    </xdr:from>
    <xdr:to>
      <xdr:col>1</xdr:col>
      <xdr:colOff>819151</xdr:colOff>
      <xdr:row>4</xdr:row>
      <xdr:rowOff>9525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 y="1"/>
          <a:ext cx="904874" cy="771524"/>
        </a:xfrm>
        <a:prstGeom prst="rect">
          <a:avLst/>
        </a:prstGeom>
        <a:noFill/>
        <a:ln w="1">
          <a:noFill/>
          <a:miter lim="800000"/>
          <a:headEnd/>
          <a:tailEnd type="none" w="med" len="med"/>
        </a:ln>
        <a:effec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xdr:colOff>
      <xdr:row>0</xdr:row>
      <xdr:rowOff>1</xdr:rowOff>
    </xdr:from>
    <xdr:to>
      <xdr:col>2</xdr:col>
      <xdr:colOff>123826</xdr:colOff>
      <xdr:row>4</xdr:row>
      <xdr:rowOff>9525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 y="1"/>
          <a:ext cx="933448" cy="771524"/>
        </a:xfrm>
        <a:prstGeom prst="rect">
          <a:avLst/>
        </a:prstGeom>
        <a:noFill/>
        <a:ln w="1">
          <a:noFill/>
          <a:miter lim="800000"/>
          <a:headEnd/>
          <a:tailEnd type="none" w="med" len="med"/>
        </a:ln>
        <a:effectLst/>
      </xdr:spPr>
    </xdr:pic>
    <xdr:clientData/>
  </xdr:twoCellAnchor>
  <xdr:twoCellAnchor>
    <xdr:from>
      <xdr:col>1</xdr:col>
      <xdr:colOff>0</xdr:colOff>
      <xdr:row>9</xdr:row>
      <xdr:rowOff>0</xdr:rowOff>
    </xdr:from>
    <xdr:to>
      <xdr:col>11</xdr:col>
      <xdr:colOff>228600</xdr:colOff>
      <xdr:row>24</xdr:row>
      <xdr:rowOff>114300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9</xdr:row>
      <xdr:rowOff>0</xdr:rowOff>
    </xdr:from>
    <xdr:to>
      <xdr:col>22</xdr:col>
      <xdr:colOff>228600</xdr:colOff>
      <xdr:row>24</xdr:row>
      <xdr:rowOff>114300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29</xdr:row>
      <xdr:rowOff>0</xdr:rowOff>
    </xdr:from>
    <xdr:to>
      <xdr:col>11</xdr:col>
      <xdr:colOff>228600</xdr:colOff>
      <xdr:row>44</xdr:row>
      <xdr:rowOff>114300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29</xdr:row>
      <xdr:rowOff>0</xdr:rowOff>
    </xdr:from>
    <xdr:to>
      <xdr:col>22</xdr:col>
      <xdr:colOff>228600</xdr:colOff>
      <xdr:row>44</xdr:row>
      <xdr:rowOff>114300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38100</xdr:colOff>
      <xdr:row>47</xdr:row>
      <xdr:rowOff>95250</xdr:rowOff>
    </xdr:from>
    <xdr:to>
      <xdr:col>11</xdr:col>
      <xdr:colOff>266700</xdr:colOff>
      <xdr:row>63</xdr:row>
      <xdr:rowOff>19050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19050</xdr:colOff>
      <xdr:row>47</xdr:row>
      <xdr:rowOff>133350</xdr:rowOff>
    </xdr:from>
    <xdr:to>
      <xdr:col>22</xdr:col>
      <xdr:colOff>514350</xdr:colOff>
      <xdr:row>63</xdr:row>
      <xdr:rowOff>57150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65</xdr:row>
      <xdr:rowOff>0</xdr:rowOff>
    </xdr:from>
    <xdr:to>
      <xdr:col>11</xdr:col>
      <xdr:colOff>133350</xdr:colOff>
      <xdr:row>79</xdr:row>
      <xdr:rowOff>76200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0</xdr:colOff>
      <xdr:row>65</xdr:row>
      <xdr:rowOff>0</xdr:rowOff>
    </xdr:from>
    <xdr:to>
      <xdr:col>22</xdr:col>
      <xdr:colOff>133350</xdr:colOff>
      <xdr:row>79</xdr:row>
      <xdr:rowOff>76200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200024</xdr:colOff>
      <xdr:row>81</xdr:row>
      <xdr:rowOff>0</xdr:rowOff>
    </xdr:from>
    <xdr:to>
      <xdr:col>11</xdr:col>
      <xdr:colOff>9524</xdr:colOff>
      <xdr:row>95</xdr:row>
      <xdr:rowOff>76200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0</xdr:colOff>
      <xdr:row>80</xdr:row>
      <xdr:rowOff>0</xdr:rowOff>
    </xdr:from>
    <xdr:to>
      <xdr:col>22</xdr:col>
      <xdr:colOff>9525</xdr:colOff>
      <xdr:row>95</xdr:row>
      <xdr:rowOff>38100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97</xdr:row>
      <xdr:rowOff>0</xdr:rowOff>
    </xdr:from>
    <xdr:to>
      <xdr:col>11</xdr:col>
      <xdr:colOff>133350</xdr:colOff>
      <xdr:row>111</xdr:row>
      <xdr:rowOff>76200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0</xdr:colOff>
      <xdr:row>97</xdr:row>
      <xdr:rowOff>0</xdr:rowOff>
    </xdr:from>
    <xdr:to>
      <xdr:col>22</xdr:col>
      <xdr:colOff>133350</xdr:colOff>
      <xdr:row>111</xdr:row>
      <xdr:rowOff>76200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114</xdr:row>
      <xdr:rowOff>0</xdr:rowOff>
    </xdr:from>
    <xdr:to>
      <xdr:col>11</xdr:col>
      <xdr:colOff>228600</xdr:colOff>
      <xdr:row>128</xdr:row>
      <xdr:rowOff>76200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xdr:col>
      <xdr:colOff>0</xdr:colOff>
      <xdr:row>114</xdr:row>
      <xdr:rowOff>0</xdr:rowOff>
    </xdr:from>
    <xdr:to>
      <xdr:col>22</xdr:col>
      <xdr:colOff>228600</xdr:colOff>
      <xdr:row>128</xdr:row>
      <xdr:rowOff>76200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131</xdr:row>
      <xdr:rowOff>0</xdr:rowOff>
    </xdr:from>
    <xdr:to>
      <xdr:col>11</xdr:col>
      <xdr:colOff>228600</xdr:colOff>
      <xdr:row>145</xdr:row>
      <xdr:rowOff>76200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12</xdr:col>
      <xdr:colOff>0</xdr:colOff>
      <xdr:row>131</xdr:row>
      <xdr:rowOff>0</xdr:rowOff>
    </xdr:from>
    <xdr:to>
      <xdr:col>22</xdr:col>
      <xdr:colOff>228600</xdr:colOff>
      <xdr:row>145</xdr:row>
      <xdr:rowOff>76200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147</xdr:row>
      <xdr:rowOff>0</xdr:rowOff>
    </xdr:from>
    <xdr:to>
      <xdr:col>11</xdr:col>
      <xdr:colOff>228600</xdr:colOff>
      <xdr:row>161</xdr:row>
      <xdr:rowOff>76200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12</xdr:col>
      <xdr:colOff>0</xdr:colOff>
      <xdr:row>147</xdr:row>
      <xdr:rowOff>0</xdr:rowOff>
    </xdr:from>
    <xdr:to>
      <xdr:col>22</xdr:col>
      <xdr:colOff>228600</xdr:colOff>
      <xdr:row>161</xdr:row>
      <xdr:rowOff>76200</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66675</xdr:colOff>
      <xdr:row>165</xdr:row>
      <xdr:rowOff>0</xdr:rowOff>
    </xdr:from>
    <xdr:to>
      <xdr:col>11</xdr:col>
      <xdr:colOff>200025</xdr:colOff>
      <xdr:row>179</xdr:row>
      <xdr:rowOff>76200</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11</xdr:col>
      <xdr:colOff>590550</xdr:colOff>
      <xdr:row>164</xdr:row>
      <xdr:rowOff>171450</xdr:rowOff>
    </xdr:from>
    <xdr:to>
      <xdr:col>22</xdr:col>
      <xdr:colOff>114300</xdr:colOff>
      <xdr:row>179</xdr:row>
      <xdr:rowOff>57150</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12</xdr:col>
      <xdr:colOff>95250</xdr:colOff>
      <xdr:row>181</xdr:row>
      <xdr:rowOff>57150</xdr:rowOff>
    </xdr:from>
    <xdr:to>
      <xdr:col>22</xdr:col>
      <xdr:colOff>104775</xdr:colOff>
      <xdr:row>195</xdr:row>
      <xdr:rowOff>133350</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219075</xdr:colOff>
      <xdr:row>181</xdr:row>
      <xdr:rowOff>19050</xdr:rowOff>
    </xdr:from>
    <xdr:to>
      <xdr:col>11</xdr:col>
      <xdr:colOff>228600</xdr:colOff>
      <xdr:row>196</xdr:row>
      <xdr:rowOff>57150</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12</xdr:col>
      <xdr:colOff>66675</xdr:colOff>
      <xdr:row>198</xdr:row>
      <xdr:rowOff>95249</xdr:rowOff>
    </xdr:from>
    <xdr:to>
      <xdr:col>22</xdr:col>
      <xdr:colOff>200025</xdr:colOff>
      <xdr:row>213</xdr:row>
      <xdr:rowOff>66674</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190500</xdr:colOff>
      <xdr:row>198</xdr:row>
      <xdr:rowOff>171450</xdr:rowOff>
    </xdr:from>
    <xdr:to>
      <xdr:col>11</xdr:col>
      <xdr:colOff>323850</xdr:colOff>
      <xdr:row>213</xdr:row>
      <xdr:rowOff>57150</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200024</xdr:colOff>
      <xdr:row>216</xdr:row>
      <xdr:rowOff>0</xdr:rowOff>
    </xdr:from>
    <xdr:to>
      <xdr:col>11</xdr:col>
      <xdr:colOff>180974</xdr:colOff>
      <xdr:row>230</xdr:row>
      <xdr:rowOff>76200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11</xdr:col>
      <xdr:colOff>609599</xdr:colOff>
      <xdr:row>215</xdr:row>
      <xdr:rowOff>0</xdr:rowOff>
    </xdr:from>
    <xdr:to>
      <xdr:col>22</xdr:col>
      <xdr:colOff>142874</xdr:colOff>
      <xdr:row>229</xdr:row>
      <xdr:rowOff>76200</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233</xdr:row>
      <xdr:rowOff>0</xdr:rowOff>
    </xdr:from>
    <xdr:to>
      <xdr:col>11</xdr:col>
      <xdr:colOff>180975</xdr:colOff>
      <xdr:row>247</xdr:row>
      <xdr:rowOff>76200</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12</xdr:col>
      <xdr:colOff>0</xdr:colOff>
      <xdr:row>233</xdr:row>
      <xdr:rowOff>0</xdr:rowOff>
    </xdr:from>
    <xdr:to>
      <xdr:col>22</xdr:col>
      <xdr:colOff>142875</xdr:colOff>
      <xdr:row>247</xdr:row>
      <xdr:rowOff>76200</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200024</xdr:colOff>
      <xdr:row>252</xdr:row>
      <xdr:rowOff>0</xdr:rowOff>
    </xdr:from>
    <xdr:to>
      <xdr:col>10</xdr:col>
      <xdr:colOff>447674</xdr:colOff>
      <xdr:row>266</xdr:row>
      <xdr:rowOff>76200</xdr:rowOff>
    </xdr:to>
    <xdr:graphicFrame macro="">
      <xdr:nvGraphicFramePr>
        <xdr:cNvPr id="3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3</xdr:col>
      <xdr:colOff>142875</xdr:colOff>
      <xdr:row>269</xdr:row>
      <xdr:rowOff>19050</xdr:rowOff>
    </xdr:from>
    <xdr:to>
      <xdr:col>10</xdr:col>
      <xdr:colOff>447675</xdr:colOff>
      <xdr:row>283</xdr:row>
      <xdr:rowOff>95250</xdr:rowOff>
    </xdr:to>
    <xdr:graphicFrame macro="">
      <xdr:nvGraphicFramePr>
        <xdr:cNvPr id="35"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12</xdr:col>
      <xdr:colOff>238125</xdr:colOff>
      <xdr:row>269</xdr:row>
      <xdr:rowOff>9525</xdr:rowOff>
    </xdr:from>
    <xdr:to>
      <xdr:col>19</xdr:col>
      <xdr:colOff>542925</xdr:colOff>
      <xdr:row>283</xdr:row>
      <xdr:rowOff>85725</xdr:rowOff>
    </xdr:to>
    <xdr:graphicFrame macro="">
      <xdr:nvGraphicFramePr>
        <xdr:cNvPr id="36"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3</xdr:col>
      <xdr:colOff>0</xdr:colOff>
      <xdr:row>286</xdr:row>
      <xdr:rowOff>0</xdr:rowOff>
    </xdr:from>
    <xdr:to>
      <xdr:col>10</xdr:col>
      <xdr:colOff>304800</xdr:colOff>
      <xdr:row>300</xdr:row>
      <xdr:rowOff>76200</xdr:rowOff>
    </xdr:to>
    <xdr:graphicFrame macro="">
      <xdr:nvGraphicFramePr>
        <xdr:cNvPr id="37" name="Chart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xdr:col>
      <xdr:colOff>0</xdr:colOff>
      <xdr:row>305</xdr:row>
      <xdr:rowOff>0</xdr:rowOff>
    </xdr:from>
    <xdr:to>
      <xdr:col>9</xdr:col>
      <xdr:colOff>304800</xdr:colOff>
      <xdr:row>319</xdr:row>
      <xdr:rowOff>76200</xdr:rowOff>
    </xdr:to>
    <xdr:graphicFrame macro="">
      <xdr:nvGraphicFramePr>
        <xdr:cNvPr id="38" name="Chart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2</xdr:col>
      <xdr:colOff>0</xdr:colOff>
      <xdr:row>322</xdr:row>
      <xdr:rowOff>0</xdr:rowOff>
    </xdr:from>
    <xdr:to>
      <xdr:col>9</xdr:col>
      <xdr:colOff>304800</xdr:colOff>
      <xdr:row>336</xdr:row>
      <xdr:rowOff>76200</xdr:rowOff>
    </xdr:to>
    <xdr:graphicFrame macro="">
      <xdr:nvGraphicFramePr>
        <xdr:cNvPr id="39" name="Chart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11</xdr:col>
      <xdr:colOff>0</xdr:colOff>
      <xdr:row>322</xdr:row>
      <xdr:rowOff>0</xdr:rowOff>
    </xdr:from>
    <xdr:to>
      <xdr:col>18</xdr:col>
      <xdr:colOff>304800</xdr:colOff>
      <xdr:row>336</xdr:row>
      <xdr:rowOff>76200</xdr:rowOff>
    </xdr:to>
    <xdr:graphicFrame macro="">
      <xdr:nvGraphicFramePr>
        <xdr:cNvPr id="40" name="Chart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2</xdr:col>
      <xdr:colOff>0</xdr:colOff>
      <xdr:row>339</xdr:row>
      <xdr:rowOff>0</xdr:rowOff>
    </xdr:from>
    <xdr:to>
      <xdr:col>9</xdr:col>
      <xdr:colOff>304800</xdr:colOff>
      <xdr:row>353</xdr:row>
      <xdr:rowOff>76200</xdr:rowOff>
    </xdr:to>
    <xdr:graphicFrame macro="">
      <xdr:nvGraphicFramePr>
        <xdr:cNvPr id="41" name="Chart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11</xdr:col>
      <xdr:colOff>0</xdr:colOff>
      <xdr:row>339</xdr:row>
      <xdr:rowOff>0</xdr:rowOff>
    </xdr:from>
    <xdr:to>
      <xdr:col>18</xdr:col>
      <xdr:colOff>304800</xdr:colOff>
      <xdr:row>353</xdr:row>
      <xdr:rowOff>76200</xdr:rowOff>
    </xdr:to>
    <xdr:graphicFrame macro="">
      <xdr:nvGraphicFramePr>
        <xdr:cNvPr id="42"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0.82982</cdr:x>
      <cdr:y>0.57292</cdr:y>
    </cdr:from>
    <cdr:to>
      <cdr:x>0.94428</cdr:x>
      <cdr:y>0.66667</cdr:y>
    </cdr:to>
    <cdr:sp macro="" textlink="">
      <cdr:nvSpPr>
        <cdr:cNvPr id="2" name="TextBox 1"/>
        <cdr:cNvSpPr txBox="1"/>
      </cdr:nvSpPr>
      <cdr:spPr>
        <a:xfrm xmlns:a="http://schemas.openxmlformats.org/drawingml/2006/main">
          <a:off x="5248275" y="1571625"/>
          <a:ext cx="723900" cy="2571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1000"/>
            <a:t>Base case</a:t>
          </a:r>
        </a:p>
      </cdr:txBody>
    </cdr:sp>
  </cdr:relSizeAnchor>
  <cdr:relSizeAnchor xmlns:cdr="http://schemas.openxmlformats.org/drawingml/2006/chartDrawing">
    <cdr:from>
      <cdr:x>0.81225</cdr:x>
      <cdr:y>0.11227</cdr:y>
    </cdr:from>
    <cdr:to>
      <cdr:x>0.92671</cdr:x>
      <cdr:y>0.20602</cdr:y>
    </cdr:to>
    <cdr:sp macro="" textlink="">
      <cdr:nvSpPr>
        <cdr:cNvPr id="3" name="TextBox 1"/>
        <cdr:cNvSpPr txBox="1"/>
      </cdr:nvSpPr>
      <cdr:spPr>
        <a:xfrm xmlns:a="http://schemas.openxmlformats.org/drawingml/2006/main">
          <a:off x="5137150" y="307975"/>
          <a:ext cx="723900" cy="25717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000"/>
            <a:t>Scenario</a:t>
          </a:r>
          <a:r>
            <a:rPr lang="en-AU" sz="1100"/>
            <a:t> B</a:t>
          </a:r>
        </a:p>
      </cdr:txBody>
    </cdr:sp>
  </cdr:relSizeAnchor>
</c:userShapes>
</file>

<file path=xl/drawings/drawing13.xml><?xml version="1.0" encoding="utf-8"?>
<c:userShapes xmlns:c="http://schemas.openxmlformats.org/drawingml/2006/chart">
  <cdr:relSizeAnchor xmlns:cdr="http://schemas.openxmlformats.org/drawingml/2006/chartDrawing">
    <cdr:from>
      <cdr:x>0.20489</cdr:x>
      <cdr:y>0.75347</cdr:y>
    </cdr:from>
    <cdr:to>
      <cdr:x>0.35168</cdr:x>
      <cdr:y>0.85417</cdr:y>
    </cdr:to>
    <cdr:sp macro="" textlink="">
      <cdr:nvSpPr>
        <cdr:cNvPr id="2" name="TextBox 1"/>
        <cdr:cNvSpPr txBox="1"/>
      </cdr:nvSpPr>
      <cdr:spPr>
        <a:xfrm xmlns:a="http://schemas.openxmlformats.org/drawingml/2006/main">
          <a:off x="1276350" y="2066925"/>
          <a:ext cx="914400" cy="2762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1100"/>
            <a:t>Half tax rate to Greyhound racing</a:t>
          </a:r>
        </a:p>
      </cdr:txBody>
    </cdr:sp>
  </cdr:relSizeAnchor>
  <cdr:relSizeAnchor xmlns:cdr="http://schemas.openxmlformats.org/drawingml/2006/chartDrawing">
    <cdr:from>
      <cdr:x>0.64883</cdr:x>
      <cdr:y>0.79977</cdr:y>
    </cdr:from>
    <cdr:to>
      <cdr:x>0.79562</cdr:x>
      <cdr:y>0.90046</cdr:y>
    </cdr:to>
    <cdr:sp macro="" textlink="">
      <cdr:nvSpPr>
        <cdr:cNvPr id="3" name="TextBox 1"/>
        <cdr:cNvSpPr txBox="1"/>
      </cdr:nvSpPr>
      <cdr:spPr>
        <a:xfrm xmlns:a="http://schemas.openxmlformats.org/drawingml/2006/main">
          <a:off x="4041775" y="2193925"/>
          <a:ext cx="914400" cy="2762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Fiscal grant to harness</a:t>
          </a:r>
        </a:p>
      </cdr:txBody>
    </cdr:sp>
  </cdr:relSizeAnchor>
</c:userShapes>
</file>

<file path=xl/drawings/drawing14.xml><?xml version="1.0" encoding="utf-8"?>
<c:userShapes xmlns:c="http://schemas.openxmlformats.org/drawingml/2006/chart">
  <cdr:relSizeAnchor xmlns:cdr="http://schemas.openxmlformats.org/drawingml/2006/chartDrawing">
    <cdr:from>
      <cdr:x>0.17941</cdr:x>
      <cdr:y>0.61574</cdr:y>
    </cdr:from>
    <cdr:to>
      <cdr:x>0.3262</cdr:x>
      <cdr:y>0.71644</cdr:y>
    </cdr:to>
    <cdr:sp macro="" textlink="">
      <cdr:nvSpPr>
        <cdr:cNvPr id="2" name="TextBox 1"/>
        <cdr:cNvSpPr txBox="1"/>
      </cdr:nvSpPr>
      <cdr:spPr>
        <a:xfrm xmlns:a="http://schemas.openxmlformats.org/drawingml/2006/main">
          <a:off x="1117600" y="1689100"/>
          <a:ext cx="914400" cy="2762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Half tax rate to Greyhound racing</a:t>
          </a:r>
        </a:p>
      </cdr:txBody>
    </cdr:sp>
  </cdr:relSizeAnchor>
  <cdr:relSizeAnchor xmlns:cdr="http://schemas.openxmlformats.org/drawingml/2006/chartDrawing">
    <cdr:from>
      <cdr:x>0.66106</cdr:x>
      <cdr:y>0.76852</cdr:y>
    </cdr:from>
    <cdr:to>
      <cdr:x>0.80785</cdr:x>
      <cdr:y>0.86921</cdr:y>
    </cdr:to>
    <cdr:sp macro="" textlink="">
      <cdr:nvSpPr>
        <cdr:cNvPr id="3" name="TextBox 1"/>
        <cdr:cNvSpPr txBox="1"/>
      </cdr:nvSpPr>
      <cdr:spPr>
        <a:xfrm xmlns:a="http://schemas.openxmlformats.org/drawingml/2006/main">
          <a:off x="4117975" y="2108200"/>
          <a:ext cx="914400" cy="2762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Fiscal grant to harness</a:t>
          </a:r>
        </a:p>
      </cdr:txBody>
    </cdr:sp>
  </cdr:relSizeAnchor>
</c:userShapes>
</file>

<file path=xl/drawings/drawing15.xml><?xml version="1.0" encoding="utf-8"?>
<c:userShapes xmlns:c="http://schemas.openxmlformats.org/drawingml/2006/chart">
  <cdr:relSizeAnchor xmlns:cdr="http://schemas.openxmlformats.org/drawingml/2006/chartDrawing">
    <cdr:from>
      <cdr:x>0.17788</cdr:x>
      <cdr:y>0.22338</cdr:y>
    </cdr:from>
    <cdr:to>
      <cdr:x>0.32467</cdr:x>
      <cdr:y>0.32407</cdr:y>
    </cdr:to>
    <cdr:sp macro="" textlink="">
      <cdr:nvSpPr>
        <cdr:cNvPr id="2" name="TextBox 1"/>
        <cdr:cNvSpPr txBox="1"/>
      </cdr:nvSpPr>
      <cdr:spPr>
        <a:xfrm xmlns:a="http://schemas.openxmlformats.org/drawingml/2006/main">
          <a:off x="1108075" y="612775"/>
          <a:ext cx="914400" cy="2762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Half tax rate to Greyhound racing</a:t>
          </a:r>
        </a:p>
      </cdr:txBody>
    </cdr:sp>
  </cdr:relSizeAnchor>
  <cdr:relSizeAnchor xmlns:cdr="http://schemas.openxmlformats.org/drawingml/2006/chartDrawing">
    <cdr:from>
      <cdr:x>0.70999</cdr:x>
      <cdr:y>0.21644</cdr:y>
    </cdr:from>
    <cdr:to>
      <cdr:x>0.85678</cdr:x>
      <cdr:y>0.31713</cdr:y>
    </cdr:to>
    <cdr:sp macro="" textlink="">
      <cdr:nvSpPr>
        <cdr:cNvPr id="3" name="TextBox 1"/>
        <cdr:cNvSpPr txBox="1"/>
      </cdr:nvSpPr>
      <cdr:spPr>
        <a:xfrm xmlns:a="http://schemas.openxmlformats.org/drawingml/2006/main">
          <a:off x="4422775" y="593725"/>
          <a:ext cx="914400" cy="2762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Fiscal grant to harness</a:t>
          </a:r>
        </a:p>
      </cdr:txBody>
    </cdr:sp>
  </cdr:relSizeAnchor>
</c:userShapes>
</file>

<file path=xl/drawings/drawing16.xml><?xml version="1.0" encoding="utf-8"?>
<c:userShapes xmlns:c="http://schemas.openxmlformats.org/drawingml/2006/chart">
  <cdr:relSizeAnchor xmlns:cdr="http://schemas.openxmlformats.org/drawingml/2006/chartDrawing">
    <cdr:from>
      <cdr:x>0.17788</cdr:x>
      <cdr:y>0.22338</cdr:y>
    </cdr:from>
    <cdr:to>
      <cdr:x>0.32467</cdr:x>
      <cdr:y>0.32407</cdr:y>
    </cdr:to>
    <cdr:sp macro="" textlink="">
      <cdr:nvSpPr>
        <cdr:cNvPr id="2" name="TextBox 1"/>
        <cdr:cNvSpPr txBox="1"/>
      </cdr:nvSpPr>
      <cdr:spPr>
        <a:xfrm xmlns:a="http://schemas.openxmlformats.org/drawingml/2006/main">
          <a:off x="1108075" y="612775"/>
          <a:ext cx="914400" cy="2762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Half tax rate to Greyhound racing</a:t>
          </a:r>
        </a:p>
      </cdr:txBody>
    </cdr:sp>
  </cdr:relSizeAnchor>
  <cdr:relSizeAnchor xmlns:cdr="http://schemas.openxmlformats.org/drawingml/2006/chartDrawing">
    <cdr:from>
      <cdr:x>0.6213</cdr:x>
      <cdr:y>0.147</cdr:y>
    </cdr:from>
    <cdr:to>
      <cdr:x>0.76809</cdr:x>
      <cdr:y>0.24769</cdr:y>
    </cdr:to>
    <cdr:sp macro="" textlink="">
      <cdr:nvSpPr>
        <cdr:cNvPr id="3" name="TextBox 1"/>
        <cdr:cNvSpPr txBox="1"/>
      </cdr:nvSpPr>
      <cdr:spPr>
        <a:xfrm xmlns:a="http://schemas.openxmlformats.org/drawingml/2006/main">
          <a:off x="3870326" y="403238"/>
          <a:ext cx="914406" cy="27621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Fiscal grant to harness</a:t>
          </a:r>
        </a:p>
      </cdr:txBody>
    </cdr:sp>
  </cdr:relSizeAnchor>
</c:userShapes>
</file>

<file path=xl/drawings/drawing17.xml><?xml version="1.0" encoding="utf-8"?>
<xdr:wsDr xmlns:xdr="http://schemas.openxmlformats.org/drawingml/2006/spreadsheetDrawing" xmlns:a="http://schemas.openxmlformats.org/drawingml/2006/main">
  <xdr:twoCellAnchor editAs="oneCell">
    <xdr:from>
      <xdr:col>0</xdr:col>
      <xdr:colOff>4</xdr:colOff>
      <xdr:row>0</xdr:row>
      <xdr:rowOff>1</xdr:rowOff>
    </xdr:from>
    <xdr:to>
      <xdr:col>1</xdr:col>
      <xdr:colOff>457200</xdr:colOff>
      <xdr:row>3</xdr:row>
      <xdr:rowOff>180975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4" y="1"/>
          <a:ext cx="1057271" cy="752474"/>
        </a:xfrm>
        <a:prstGeom prst="rect">
          <a:avLst/>
        </a:prstGeom>
        <a:noFill/>
        <a:ln w="1">
          <a:noFill/>
          <a:miter lim="800000"/>
          <a:headEnd/>
          <a:tailEnd type="none" w="med" len="med"/>
        </a:ln>
        <a:effec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4</xdr:colOff>
      <xdr:row>0</xdr:row>
      <xdr:rowOff>1</xdr:rowOff>
    </xdr:from>
    <xdr:to>
      <xdr:col>1</xdr:col>
      <xdr:colOff>704850</xdr:colOff>
      <xdr:row>4</xdr:row>
      <xdr:rowOff>9525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4" y="1"/>
          <a:ext cx="942971" cy="771524"/>
        </a:xfrm>
        <a:prstGeom prst="rect">
          <a:avLst/>
        </a:prstGeom>
        <a:noFill/>
        <a:ln w="1">
          <a:noFill/>
          <a:miter lim="800000"/>
          <a:headEnd/>
          <a:tailEnd type="none" w="med" len="med"/>
        </a:ln>
        <a:effectLst/>
      </xdr:spPr>
    </xdr:pic>
    <xdr:clientData/>
  </xdr:twoCellAnchor>
  <xdr:twoCellAnchor>
    <xdr:from>
      <xdr:col>24</xdr:col>
      <xdr:colOff>38100</xdr:colOff>
      <xdr:row>44</xdr:row>
      <xdr:rowOff>157162</xdr:rowOff>
    </xdr:from>
    <xdr:to>
      <xdr:col>31</xdr:col>
      <xdr:colOff>342900</xdr:colOff>
      <xdr:row>59</xdr:row>
      <xdr:rowOff>42862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4</xdr:colOff>
      <xdr:row>0</xdr:row>
      <xdr:rowOff>1</xdr:rowOff>
    </xdr:from>
    <xdr:to>
      <xdr:col>1</xdr:col>
      <xdr:colOff>628650</xdr:colOff>
      <xdr:row>4</xdr:row>
      <xdr:rowOff>9525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4" y="1"/>
          <a:ext cx="866771" cy="771524"/>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1</xdr:col>
      <xdr:colOff>276226</xdr:colOff>
      <xdr:row>3</xdr:row>
      <xdr:rowOff>180975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 y="0"/>
          <a:ext cx="885824" cy="752475"/>
        </a:xfrm>
        <a:prstGeom prst="rect">
          <a:avLst/>
        </a:prstGeom>
        <a:noFill/>
        <a:ln w="1">
          <a:noFill/>
          <a:miter lim="800000"/>
          <a:headEnd/>
          <a:tailEnd type="none" w="med" len="med"/>
        </a:ln>
        <a:effec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4</xdr:colOff>
      <xdr:row>0</xdr:row>
      <xdr:rowOff>1</xdr:rowOff>
    </xdr:from>
    <xdr:to>
      <xdr:col>1</xdr:col>
      <xdr:colOff>895350</xdr:colOff>
      <xdr:row>4</xdr:row>
      <xdr:rowOff>9525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4" y="1"/>
          <a:ext cx="1066796" cy="771524"/>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9525</xdr:colOff>
      <xdr:row>3</xdr:row>
      <xdr:rowOff>180975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 y="1"/>
          <a:ext cx="857249" cy="752474"/>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257174</xdr:colOff>
      <xdr:row>3</xdr:row>
      <xdr:rowOff>180974</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857249" cy="752474"/>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790574</xdr:colOff>
      <xdr:row>3</xdr:row>
      <xdr:rowOff>180974</xdr:rowOff>
    </xdr:to>
    <xdr:pic>
      <xdr:nvPicPr>
        <xdr:cNvPr id="3"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857249" cy="752474"/>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xdr:colOff>
      <xdr:row>0</xdr:row>
      <xdr:rowOff>1</xdr:rowOff>
    </xdr:from>
    <xdr:to>
      <xdr:col>1</xdr:col>
      <xdr:colOff>781050</xdr:colOff>
      <xdr:row>4</xdr:row>
      <xdr:rowOff>9525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 y="1"/>
          <a:ext cx="857248" cy="771524"/>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xdr:colOff>
      <xdr:row>0</xdr:row>
      <xdr:rowOff>1</xdr:rowOff>
    </xdr:from>
    <xdr:to>
      <xdr:col>1</xdr:col>
      <xdr:colOff>723900</xdr:colOff>
      <xdr:row>4</xdr:row>
      <xdr:rowOff>9525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 y="1"/>
          <a:ext cx="885823" cy="771524"/>
        </a:xfrm>
        <a:prstGeom prst="rect">
          <a:avLst/>
        </a:prstGeom>
        <a:noFill/>
        <a:ln w="1">
          <a:noFill/>
          <a:miter lim="800000"/>
          <a:headEnd/>
          <a:tailEnd type="none" w="med" len="med"/>
        </a:ln>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xdr:colOff>
      <xdr:row>0</xdr:row>
      <xdr:rowOff>1</xdr:rowOff>
    </xdr:from>
    <xdr:to>
      <xdr:col>1</xdr:col>
      <xdr:colOff>790575</xdr:colOff>
      <xdr:row>4</xdr:row>
      <xdr:rowOff>9525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 y="1"/>
          <a:ext cx="914397" cy="771524"/>
        </a:xfrm>
        <a:prstGeom prst="rect">
          <a:avLst/>
        </a:prstGeom>
        <a:noFill/>
        <a:ln w="1">
          <a:noFill/>
          <a:miter lim="800000"/>
          <a:headEnd/>
          <a:tailEnd type="none" w="med" len="med"/>
        </a:ln>
        <a:effec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xdr:colOff>
      <xdr:row>0</xdr:row>
      <xdr:rowOff>1</xdr:rowOff>
    </xdr:from>
    <xdr:to>
      <xdr:col>1</xdr:col>
      <xdr:colOff>714375</xdr:colOff>
      <xdr:row>4</xdr:row>
      <xdr:rowOff>9525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 y="1"/>
          <a:ext cx="847722" cy="771524"/>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cenario%20B/Scenario%20B.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WC/Input-Output%20Tables/Australia/2005-06/Product%20details/5215055001_all_workbooks/5215055001_Product%20detail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WC/D_Other/Input-Output%20Tables/Australia/2009-10/CGE%20Database/Step%201_Download/520905500102_Use%20Ta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cenario%20C/Scenario%20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cenario%20D/Scenario%20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cenario%20E/Scenario%20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WC/B_Projects/2_M-Z/NSW%20Treasury%20Greyhound/Data/OLGR%20Data/Wagering%20Taxation%202002-20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WC/2_M-Z/NSW%20DPC/Data/Race%20industry%20data/Racing%20Data%20book%20weight%20average%20r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WC/B_Projects/2_M-Z/NSW%20Treasury%20Greyhound/Data/OLGR%20Data/GREYHOUND%20RACING%20TURNOVER%20COMMISSION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WC/B_Projects/2_M-Z/NSW%20Treasury%20Greyhound/Data/PWC%20TAX%20BREAKDOW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JYOTHI~1/AppData/Local/Temp/notesF3B52A/Scenarios/D/Scenario%20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1.Disclaimer"/>
      <sheetName val="2.Summary"/>
      <sheetName val="3.Macro"/>
      <sheetName val="4.IGVA"/>
      <sheetName val="5.Employ"/>
      <sheetName val="6.TaxRev"/>
      <sheetName val="7.Figures"/>
      <sheetName val="base"/>
      <sheetName val="policy"/>
      <sheetName val="dev"/>
      <sheetName val="definition"/>
    </sheetNames>
    <sheetDataSet>
      <sheetData sheetId="0"/>
      <sheetData sheetId="1"/>
      <sheetData sheetId="2"/>
      <sheetData sheetId="3"/>
      <sheetData sheetId="4">
        <row r="14">
          <cell r="P14">
            <v>483126.72604559996</v>
          </cell>
          <cell r="Q14">
            <v>494345.26681308704</v>
          </cell>
          <cell r="R14">
            <v>505701.86062758404</v>
          </cell>
          <cell r="S14">
            <v>517464.789326898</v>
          </cell>
          <cell r="T14">
            <v>530140.86553864426</v>
          </cell>
          <cell r="U14">
            <v>542927.28006048419</v>
          </cell>
          <cell r="V14">
            <v>556029.79840291187</v>
          </cell>
          <cell r="W14">
            <v>569865.82149445056</v>
          </cell>
          <cell r="X14">
            <v>584196.69320022874</v>
          </cell>
          <cell r="Y14">
            <v>598850.39095411671</v>
          </cell>
        </row>
        <row r="19">
          <cell r="Q19">
            <v>494383.62707513501</v>
          </cell>
          <cell r="R19">
            <v>505726.12231603172</v>
          </cell>
          <cell r="S19">
            <v>517479.75369739078</v>
          </cell>
          <cell r="T19">
            <v>530149.67623894231</v>
          </cell>
          <cell r="U19">
            <v>542931.21382828988</v>
          </cell>
          <cell r="V19">
            <v>555999.56814513681</v>
          </cell>
          <cell r="W19">
            <v>569845.90339043923</v>
          </cell>
          <cell r="X19">
            <v>584182.59948924906</v>
          </cell>
          <cell r="Y19">
            <v>598839.56565565453</v>
          </cell>
        </row>
      </sheetData>
      <sheetData sheetId="5">
        <row r="313">
          <cell r="L313">
            <v>6801.1851561408848</v>
          </cell>
          <cell r="M313">
            <v>6893.6118300884636</v>
          </cell>
          <cell r="N313">
            <v>6991.9906692935974</v>
          </cell>
          <cell r="O313">
            <v>7110.524016751132</v>
          </cell>
          <cell r="P313">
            <v>7255.1334606669943</v>
          </cell>
          <cell r="Q313">
            <v>7406.8720148673156</v>
          </cell>
          <cell r="R313">
            <v>7572.471593963819</v>
          </cell>
          <cell r="S313">
            <v>7762.441124604451</v>
          </cell>
          <cell r="T313">
            <v>7972.3074548564809</v>
          </cell>
          <cell r="U313">
            <v>8191.3182061275365</v>
          </cell>
        </row>
        <row r="314">
          <cell r="L314">
            <v>15669.261823813296</v>
          </cell>
          <cell r="M314">
            <v>16575.196602717609</v>
          </cell>
          <cell r="N314">
            <v>17463.728204317267</v>
          </cell>
          <cell r="O314">
            <v>18308.967444255046</v>
          </cell>
          <cell r="P314">
            <v>19107.385064004342</v>
          </cell>
          <cell r="Q314">
            <v>19838.472358112784</v>
          </cell>
          <cell r="R314">
            <v>20539.073435598537</v>
          </cell>
          <cell r="S314">
            <v>21215.327883232272</v>
          </cell>
          <cell r="T314">
            <v>21860.997236442337</v>
          </cell>
          <cell r="U314">
            <v>22484.873222179613</v>
          </cell>
        </row>
        <row r="315">
          <cell r="L315">
            <v>34419.199186824735</v>
          </cell>
          <cell r="M315">
            <v>34574.3199093492</v>
          </cell>
          <cell r="N315">
            <v>34667.139606830031</v>
          </cell>
          <cell r="O315">
            <v>34759.802382642803</v>
          </cell>
          <cell r="P315">
            <v>35043.31115663363</v>
          </cell>
          <cell r="Q315">
            <v>35191.290958623133</v>
          </cell>
          <cell r="R315">
            <v>35392.373811757338</v>
          </cell>
          <cell r="S315">
            <v>35685.63796236553</v>
          </cell>
          <cell r="T315">
            <v>36039.836598282978</v>
          </cell>
          <cell r="U315">
            <v>36423.204379114701</v>
          </cell>
        </row>
        <row r="316">
          <cell r="L316">
            <v>12264.410284140358</v>
          </cell>
          <cell r="M316">
            <v>12439.715232960445</v>
          </cell>
          <cell r="N316">
            <v>12602.34517747927</v>
          </cell>
          <cell r="O316">
            <v>12763.99430119611</v>
          </cell>
          <cell r="P316">
            <v>12954.127170311658</v>
          </cell>
          <cell r="Q316">
            <v>13150.151592990234</v>
          </cell>
          <cell r="R316">
            <v>13356.360830326441</v>
          </cell>
          <cell r="S316">
            <v>13594.619816832115</v>
          </cell>
          <cell r="T316">
            <v>13837.055731365786</v>
          </cell>
          <cell r="U316">
            <v>14088.20999704008</v>
          </cell>
        </row>
        <row r="317">
          <cell r="L317">
            <v>25526.286387900003</v>
          </cell>
          <cell r="M317">
            <v>26207.42215598881</v>
          </cell>
          <cell r="N317">
            <v>26799.935280544702</v>
          </cell>
          <cell r="O317">
            <v>27352.01930731098</v>
          </cell>
          <cell r="P317">
            <v>27851.272980525398</v>
          </cell>
          <cell r="Q317">
            <v>28399.541999910831</v>
          </cell>
          <cell r="R317">
            <v>28873.561595385545</v>
          </cell>
          <cell r="S317">
            <v>29316.909358970366</v>
          </cell>
          <cell r="T317">
            <v>29756.425532389116</v>
          </cell>
          <cell r="U317">
            <v>30194.844803613123</v>
          </cell>
        </row>
        <row r="318">
          <cell r="L318">
            <v>41551.416388000005</v>
          </cell>
          <cell r="M318">
            <v>42055.10265745534</v>
          </cell>
          <cell r="N318">
            <v>42521.455896334126</v>
          </cell>
          <cell r="O318">
            <v>43035.047049232409</v>
          </cell>
          <cell r="P318">
            <v>43706.432514742773</v>
          </cell>
          <cell r="Q318">
            <v>44380.765950082983</v>
          </cell>
          <cell r="R318">
            <v>45058.557883825844</v>
          </cell>
          <cell r="S318">
            <v>45810.139135183854</v>
          </cell>
          <cell r="T318">
            <v>46625.05570025964</v>
          </cell>
          <cell r="U318">
            <v>47472.773812979474</v>
          </cell>
        </row>
        <row r="319">
          <cell r="L319">
            <v>13119.405382999999</v>
          </cell>
          <cell r="M319">
            <v>13331.290339638141</v>
          </cell>
          <cell r="N319">
            <v>13570.704316589634</v>
          </cell>
          <cell r="O319">
            <v>13857.698928547303</v>
          </cell>
          <cell r="P319">
            <v>14163.31800648738</v>
          </cell>
          <cell r="Q319">
            <v>14549.391643030816</v>
          </cell>
          <cell r="R319">
            <v>14868.446707310002</v>
          </cell>
          <cell r="S319">
            <v>15171.608388293369</v>
          </cell>
          <cell r="T319">
            <v>15482.544433568086</v>
          </cell>
          <cell r="U319">
            <v>15799.888598568486</v>
          </cell>
        </row>
        <row r="320">
          <cell r="L320">
            <v>22910.695487353783</v>
          </cell>
          <cell r="M320">
            <v>23299.611056665315</v>
          </cell>
          <cell r="N320">
            <v>23672.102367484255</v>
          </cell>
          <cell r="O320">
            <v>24062.873758371752</v>
          </cell>
          <cell r="P320">
            <v>24524.196578337276</v>
          </cell>
          <cell r="Q320">
            <v>24955.585462151863</v>
          </cell>
          <cell r="R320">
            <v>25466.38107804305</v>
          </cell>
          <cell r="S320">
            <v>26029.249329694194</v>
          </cell>
          <cell r="T320">
            <v>26624.748823650254</v>
          </cell>
          <cell r="U320">
            <v>27245.764565824666</v>
          </cell>
        </row>
        <row r="321">
          <cell r="L321">
            <v>19153.615622600002</v>
          </cell>
          <cell r="M321">
            <v>19941.377018095667</v>
          </cell>
          <cell r="N321">
            <v>20765.98286985945</v>
          </cell>
          <cell r="O321">
            <v>21631.452967721441</v>
          </cell>
          <cell r="P321">
            <v>22531.144033264318</v>
          </cell>
          <cell r="Q321">
            <v>23467.290536702418</v>
          </cell>
          <cell r="R321">
            <v>24400.401636480885</v>
          </cell>
          <cell r="S321">
            <v>25346.629691622304</v>
          </cell>
          <cell r="T321">
            <v>26301.102656593786</v>
          </cell>
          <cell r="U321">
            <v>27267.084294744633</v>
          </cell>
        </row>
        <row r="322">
          <cell r="L322">
            <v>56049.221151999998</v>
          </cell>
          <cell r="M322">
            <v>57773.74358840473</v>
          </cell>
          <cell r="N322">
            <v>59574.86893164504</v>
          </cell>
          <cell r="O322">
            <v>61439.324029729803</v>
          </cell>
          <cell r="P322">
            <v>63358.620929162127</v>
          </cell>
          <cell r="Q322">
            <v>65295.576337173829</v>
          </cell>
          <cell r="R322">
            <v>67284.83218851636</v>
          </cell>
          <cell r="S322">
            <v>69376.542680693645</v>
          </cell>
          <cell r="T322">
            <v>71521.845759391668</v>
          </cell>
          <cell r="U322">
            <v>73698.563069786731</v>
          </cell>
        </row>
        <row r="323">
          <cell r="L323">
            <v>67727.481787600002</v>
          </cell>
          <cell r="M323">
            <v>70043.003116939901</v>
          </cell>
          <cell r="N323">
            <v>72385.65439488877</v>
          </cell>
          <cell r="O323">
            <v>74666.352639301171</v>
          </cell>
          <cell r="P323">
            <v>77094.48749386071</v>
          </cell>
          <cell r="Q323">
            <v>79219.057380216516</v>
          </cell>
          <cell r="R323">
            <v>81721.143776136232</v>
          </cell>
          <cell r="S323">
            <v>84533.094784443674</v>
          </cell>
          <cell r="T323">
            <v>87469.38564501924</v>
          </cell>
          <cell r="U323">
            <v>90487.061955895275</v>
          </cell>
        </row>
        <row r="324">
          <cell r="L324">
            <v>77176.690303199997</v>
          </cell>
          <cell r="M324">
            <v>78755.655927782194</v>
          </cell>
          <cell r="N324">
            <v>80518.365018757802</v>
          </cell>
          <cell r="O324">
            <v>82535.350062477693</v>
          </cell>
          <cell r="P324">
            <v>84773.221797606719</v>
          </cell>
          <cell r="Q324">
            <v>87245.26828648019</v>
          </cell>
          <cell r="R324">
            <v>89713.91677528029</v>
          </cell>
          <cell r="S324">
            <v>92378.41113211443</v>
          </cell>
          <cell r="T324">
            <v>95194.197481832409</v>
          </cell>
          <cell r="U324">
            <v>98101.95184101371</v>
          </cell>
        </row>
        <row r="325">
          <cell r="L325">
            <v>12470.944018556109</v>
          </cell>
          <cell r="M325">
            <v>12741.362721560077</v>
          </cell>
          <cell r="N325">
            <v>13043.772595074945</v>
          </cell>
          <cell r="O325">
            <v>13393.228306669598</v>
          </cell>
          <cell r="P325">
            <v>13749.277905942594</v>
          </cell>
          <cell r="Q325">
            <v>14193.611945101151</v>
          </cell>
          <cell r="R325">
            <v>14564.967930588</v>
          </cell>
          <cell r="S325">
            <v>14916.507996560671</v>
          </cell>
          <cell r="T325">
            <v>15268.865748455428</v>
          </cell>
          <cell r="U325">
            <v>15622.964487141282</v>
          </cell>
        </row>
        <row r="326">
          <cell r="L326">
            <v>44804.728590999999</v>
          </cell>
          <cell r="M326">
            <v>46146.088075084495</v>
          </cell>
          <cell r="N326">
            <v>47539.252317897714</v>
          </cell>
          <cell r="O326">
            <v>48980.62343247544</v>
          </cell>
          <cell r="P326">
            <v>50477.912110182784</v>
          </cell>
          <cell r="Q326">
            <v>52019.315729961745</v>
          </cell>
          <cell r="R326">
            <v>53641.522485205889</v>
          </cell>
          <cell r="S326">
            <v>55289.014565294019</v>
          </cell>
          <cell r="T326">
            <v>56937.036338047561</v>
          </cell>
          <cell r="U326">
            <v>58579.891890841958</v>
          </cell>
        </row>
        <row r="327">
          <cell r="L327">
            <v>604.77959442416727</v>
          </cell>
          <cell r="M327">
            <v>612.06793433750715</v>
          </cell>
          <cell r="N327">
            <v>616.03246862207254</v>
          </cell>
          <cell r="O327">
            <v>621.80877733418504</v>
          </cell>
          <cell r="P327">
            <v>627.66768218366542</v>
          </cell>
          <cell r="Q327">
            <v>633.59916169400901</v>
          </cell>
          <cell r="R327">
            <v>639.59491441317448</v>
          </cell>
          <cell r="S327">
            <v>645.64798650465889</v>
          </cell>
          <cell r="T327">
            <v>651.7524949735905</v>
          </cell>
          <cell r="U327">
            <v>657.90341849098695</v>
          </cell>
        </row>
        <row r="328">
          <cell r="L328">
            <v>102.65891843528229</v>
          </cell>
          <cell r="M328">
            <v>118.47211741088383</v>
          </cell>
          <cell r="N328">
            <v>116.56066060723137</v>
          </cell>
          <cell r="O328">
            <v>118.24491350417728</v>
          </cell>
          <cell r="P328">
            <v>119.43573951916218</v>
          </cell>
          <cell r="Q328">
            <v>121.49006257757883</v>
          </cell>
          <cell r="R328">
            <v>123.14347629440218</v>
          </cell>
          <cell r="S328">
            <v>124.78918021619485</v>
          </cell>
          <cell r="T328">
            <v>126.42524689419926</v>
          </cell>
          <cell r="U328">
            <v>128.17262373795856</v>
          </cell>
        </row>
        <row r="329">
          <cell r="L329">
            <v>12.835960627557233</v>
          </cell>
          <cell r="M329">
            <v>13.073272020963341</v>
          </cell>
          <cell r="N329">
            <v>12.914602447564663</v>
          </cell>
          <cell r="O329">
            <v>12.755932874165985</v>
          </cell>
          <cell r="P329">
            <v>12.59726330076731</v>
          </cell>
          <cell r="Q329">
            <v>12.438593727368628</v>
          </cell>
          <cell r="R329">
            <v>12.279924153969953</v>
          </cell>
          <cell r="S329">
            <v>12.121254580571275</v>
          </cell>
          <cell r="T329">
            <v>11.962585007172597</v>
          </cell>
          <cell r="U329">
            <v>11.80391543377392</v>
          </cell>
        </row>
        <row r="377">
          <cell r="M377">
            <v>6893.9909423320696</v>
          </cell>
          <cell r="N377">
            <v>6992.2292804413892</v>
          </cell>
          <cell r="O377">
            <v>7110.6768115041796</v>
          </cell>
          <cell r="P377">
            <v>7255.2342436405252</v>
          </cell>
          <cell r="Q377">
            <v>7406.9434304084734</v>
          </cell>
          <cell r="R377">
            <v>7572.3262778441695</v>
          </cell>
          <cell r="S377">
            <v>7762.3986411393598</v>
          </cell>
          <cell r="T377">
            <v>7972.3222643138888</v>
          </cell>
          <cell r="U377">
            <v>8191.3675257863533</v>
          </cell>
        </row>
        <row r="378">
          <cell r="M378">
            <v>16575.720247119414</v>
          </cell>
          <cell r="N378">
            <v>17464.424705243851</v>
          </cell>
          <cell r="O378">
            <v>18309.818514164763</v>
          </cell>
          <cell r="P378">
            <v>19108.349549743423</v>
          </cell>
          <cell r="Q378">
            <v>19839.517733345114</v>
          </cell>
          <cell r="R378">
            <v>20539.823835118943</v>
          </cell>
          <cell r="S378">
            <v>21216.121577633014</v>
          </cell>
          <cell r="T378">
            <v>21861.883225604812</v>
          </cell>
          <cell r="U378">
            <v>22485.832558604208</v>
          </cell>
        </row>
        <row r="379">
          <cell r="M379">
            <v>34578.441739578535</v>
          </cell>
          <cell r="N379">
            <v>34669.833273633718</v>
          </cell>
          <cell r="O379">
            <v>34761.604255187543</v>
          </cell>
          <cell r="P379">
            <v>35044.551470707665</v>
          </cell>
          <cell r="Q379">
            <v>35192.180088319496</v>
          </cell>
          <cell r="R379">
            <v>35390.811272163221</v>
          </cell>
          <cell r="S379">
            <v>35685.268455796504</v>
          </cell>
          <cell r="T379">
            <v>36040.150908743963</v>
          </cell>
          <cell r="U379">
            <v>36423.93553287378</v>
          </cell>
        </row>
        <row r="380">
          <cell r="M380">
            <v>12440.109078933459</v>
          </cell>
          <cell r="N380">
            <v>12602.452329527721</v>
          </cell>
          <cell r="O380">
            <v>12763.905803228006</v>
          </cell>
          <cell r="P380">
            <v>12953.907789683504</v>
          </cell>
          <cell r="Q380">
            <v>13149.832842397864</v>
          </cell>
          <cell r="R380">
            <v>13355.736236463619</v>
          </cell>
          <cell r="S380">
            <v>13594.162758304119</v>
          </cell>
          <cell r="T380">
            <v>13836.681217777375</v>
          </cell>
          <cell r="U380">
            <v>14087.870495946076</v>
          </cell>
        </row>
        <row r="381">
          <cell r="M381">
            <v>26207.217945697706</v>
          </cell>
          <cell r="N381">
            <v>26798.6703024616</v>
          </cell>
          <cell r="O381">
            <v>27349.983267391963</v>
          </cell>
          <cell r="P381">
            <v>27848.682862289592</v>
          </cell>
          <cell r="Q381">
            <v>28396.488733137121</v>
          </cell>
          <cell r="R381">
            <v>28869.98030522007</v>
          </cell>
          <cell r="S381">
            <v>29313.937088357681</v>
          </cell>
          <cell r="T381">
            <v>29753.780988793649</v>
          </cell>
          <cell r="U381">
            <v>30192.381474349455</v>
          </cell>
        </row>
        <row r="382">
          <cell r="M382">
            <v>42058.331202508693</v>
          </cell>
          <cell r="N382">
            <v>42523.029498132091</v>
          </cell>
          <cell r="O382">
            <v>43035.559572673083</v>
          </cell>
          <cell r="P382">
            <v>43706.32041128468</v>
          </cell>
          <cell r="Q382">
            <v>44380.236906970356</v>
          </cell>
          <cell r="R382">
            <v>45056.094658779228</v>
          </cell>
          <cell r="S382">
            <v>45808.927933213839</v>
          </cell>
          <cell r="T382">
            <v>46624.528409707949</v>
          </cell>
          <cell r="U382">
            <v>47472.633243933378</v>
          </cell>
        </row>
        <row r="383">
          <cell r="M383">
            <v>13330.849527617273</v>
          </cell>
          <cell r="N383">
            <v>13569.932981555277</v>
          </cell>
          <cell r="O383">
            <v>13856.652095522559</v>
          </cell>
          <cell r="P383">
            <v>14162.047165047039</v>
          </cell>
          <cell r="Q383">
            <v>14547.894972468181</v>
          </cell>
          <cell r="R383">
            <v>14867.164530323465</v>
          </cell>
          <cell r="S383">
            <v>15170.515642116638</v>
          </cell>
          <cell r="T383">
            <v>15481.54762201757</v>
          </cell>
          <cell r="U383">
            <v>15798.945666899888</v>
          </cell>
        </row>
        <row r="384">
          <cell r="M384">
            <v>23300.978491336169</v>
          </cell>
          <cell r="N384">
            <v>23672.498220587768</v>
          </cell>
          <cell r="O384">
            <v>24062.70330866742</v>
          </cell>
          <cell r="P384">
            <v>24523.685157398049</v>
          </cell>
          <cell r="Q384">
            <v>24954.854816000046</v>
          </cell>
          <cell r="R384">
            <v>25464.090006715091</v>
          </cell>
          <cell r="S384">
            <v>26027.615161239995</v>
          </cell>
          <cell r="T384">
            <v>26623.462806063617</v>
          </cell>
          <cell r="U384">
            <v>27244.670223178393</v>
          </cell>
        </row>
        <row r="385">
          <cell r="M385">
            <v>19942.746501612684</v>
          </cell>
          <cell r="N385">
            <v>20767.241464503506</v>
          </cell>
          <cell r="O385">
            <v>21632.631106846686</v>
          </cell>
          <cell r="P385">
            <v>22532.278153002673</v>
          </cell>
          <cell r="Q385">
            <v>23468.36812950228</v>
          </cell>
          <cell r="R385">
            <v>24400.792210492349</v>
          </cell>
          <cell r="S385">
            <v>25347.137895108757</v>
          </cell>
          <cell r="T385">
            <v>26301.698434669604</v>
          </cell>
          <cell r="U385">
            <v>27267.733516476586</v>
          </cell>
        </row>
        <row r="386">
          <cell r="M386">
            <v>57778.221921174772</v>
          </cell>
          <cell r="N386">
            <v>59577.724642909758</v>
          </cell>
          <cell r="O386">
            <v>61441.131178793577</v>
          </cell>
          <cell r="P386">
            <v>63359.673508643231</v>
          </cell>
          <cell r="Q386">
            <v>65296.122538153191</v>
          </cell>
          <cell r="R386">
            <v>67282.371819253531</v>
          </cell>
          <cell r="S386">
            <v>69375.290918249142</v>
          </cell>
          <cell r="T386">
            <v>71521.269854694256</v>
          </cell>
          <cell r="U386">
            <v>73698.341548436219</v>
          </cell>
        </row>
        <row r="387">
          <cell r="M387">
            <v>70054.435515865654</v>
          </cell>
          <cell r="N387">
            <v>72393.47605786135</v>
          </cell>
          <cell r="O387">
            <v>74672.002802001676</v>
          </cell>
          <cell r="P387">
            <v>77098.939966670383</v>
          </cell>
          <cell r="Q387">
            <v>79222.799885720247</v>
          </cell>
          <cell r="R387">
            <v>81717.383253081789</v>
          </cell>
          <cell r="S387">
            <v>84532.514419197163</v>
          </cell>
          <cell r="T387">
            <v>87470.687102128184</v>
          </cell>
          <cell r="U387">
            <v>90489.484202465537</v>
          </cell>
        </row>
        <row r="388">
          <cell r="M388">
            <v>78735.836953712336</v>
          </cell>
          <cell r="N388">
            <v>80497.244235787526</v>
          </cell>
          <cell r="O388">
            <v>82513.233319877429</v>
          </cell>
          <cell r="P388">
            <v>84750.125818562636</v>
          </cell>
          <cell r="Q388">
            <v>87221.244562142543</v>
          </cell>
          <cell r="R388">
            <v>89678.118745342334</v>
          </cell>
          <cell r="S388">
            <v>92342.572234820822</v>
          </cell>
          <cell r="T388">
            <v>95157.949514144944</v>
          </cell>
          <cell r="U388">
            <v>98065.129545546544</v>
          </cell>
        </row>
        <row r="389">
          <cell r="M389">
            <v>12741.362721560077</v>
          </cell>
          <cell r="N389">
            <v>13043.772595074945</v>
          </cell>
          <cell r="O389">
            <v>13393.228306669598</v>
          </cell>
          <cell r="P389">
            <v>13749.277905942594</v>
          </cell>
          <cell r="Q389">
            <v>14193.611945101151</v>
          </cell>
          <cell r="R389">
            <v>14564.967930588</v>
          </cell>
          <cell r="S389">
            <v>14916.507996560671</v>
          </cell>
          <cell r="T389">
            <v>15268.865748455428</v>
          </cell>
          <cell r="U389">
            <v>15622.964487141282</v>
          </cell>
        </row>
        <row r="390">
          <cell r="M390">
            <v>46146.083594611635</v>
          </cell>
          <cell r="N390">
            <v>47538.532437862319</v>
          </cell>
          <cell r="O390">
            <v>48979.22569421769</v>
          </cell>
          <cell r="P390">
            <v>50475.790833227082</v>
          </cell>
          <cell r="Q390">
            <v>52016.448254092415</v>
          </cell>
          <cell r="R390">
            <v>53637.894575779334</v>
          </cell>
          <cell r="S390">
            <v>55285.066044096398</v>
          </cell>
          <cell r="T390">
            <v>56932.721338901996</v>
          </cell>
          <cell r="U390">
            <v>58575.21326971292</v>
          </cell>
        </row>
        <row r="391">
          <cell r="M391">
            <v>613.91786519724508</v>
          </cell>
          <cell r="N391">
            <v>618.011400393283</v>
          </cell>
          <cell r="O391">
            <v>623.9247950589413</v>
          </cell>
          <cell r="P391">
            <v>629.92161538381288</v>
          </cell>
          <cell r="Q391">
            <v>636.00095934784622</v>
          </cell>
          <cell r="R391">
            <v>642.08968500033518</v>
          </cell>
          <cell r="S391">
            <v>648.29395373643865</v>
          </cell>
          <cell r="T391">
            <v>654.54626594139802</v>
          </cell>
          <cell r="U391">
            <v>660.84330224212613</v>
          </cell>
        </row>
        <row r="392">
          <cell r="M392">
            <v>134.48965538442303</v>
          </cell>
          <cell r="N392">
            <v>133.09287492643287</v>
          </cell>
          <cell r="O392">
            <v>135.35538391808694</v>
          </cell>
          <cell r="P392">
            <v>137.11901208246823</v>
          </cell>
          <cell r="Q392">
            <v>139.82964901264185</v>
          </cell>
          <cell r="R392">
            <v>141.64804142481094</v>
          </cell>
          <cell r="S392">
            <v>143.96766439859422</v>
          </cell>
          <cell r="T392">
            <v>146.23365558802129</v>
          </cell>
          <cell r="U392">
            <v>148.58451802935633</v>
          </cell>
        </row>
        <row r="393">
          <cell r="M393">
            <v>13.073453132844609</v>
          </cell>
          <cell r="N393">
            <v>12.914960391166273</v>
          </cell>
          <cell r="O393">
            <v>12.756463328058187</v>
          </cell>
          <cell r="P393">
            <v>12.597961779371799</v>
          </cell>
          <cell r="Q393">
            <v>12.439455423631314</v>
          </cell>
          <cell r="R393">
            <v>12.280940560275171</v>
          </cell>
          <cell r="S393">
            <v>12.122422317719415</v>
          </cell>
          <cell r="T393">
            <v>11.963900192761013</v>
          </cell>
          <cell r="U393">
            <v>11.805373868719778</v>
          </cell>
        </row>
      </sheetData>
      <sheetData sheetId="6">
        <row r="273">
          <cell r="L273">
            <v>77.604999288894675</v>
          </cell>
          <cell r="M273">
            <v>78.081361548727614</v>
          </cell>
          <cell r="N273">
            <v>78.507300959650323</v>
          </cell>
          <cell r="O273">
            <v>79.353803719325214</v>
          </cell>
          <cell r="P273">
            <v>80.792986864857852</v>
          </cell>
          <cell r="Q273">
            <v>82.176831618323462</v>
          </cell>
          <cell r="R273">
            <v>83.868303909149006</v>
          </cell>
          <cell r="S273">
            <v>86.260008195317639</v>
          </cell>
          <cell r="T273">
            <v>89.194423142921437</v>
          </cell>
          <cell r="U273">
            <v>92.239384907168173</v>
          </cell>
        </row>
        <row r="274">
          <cell r="L274">
            <v>34.75673466035321</v>
          </cell>
          <cell r="M274">
            <v>34.971550192408081</v>
          </cell>
          <cell r="N274">
            <v>34.85788228956077</v>
          </cell>
          <cell r="O274">
            <v>34.880425670362278</v>
          </cell>
          <cell r="P274">
            <v>34.683150256788821</v>
          </cell>
          <cell r="Q274">
            <v>34.373634286771036</v>
          </cell>
          <cell r="R274">
            <v>34.096076613372723</v>
          </cell>
          <cell r="S274">
            <v>33.991445748654542</v>
          </cell>
          <cell r="T274">
            <v>33.923496893170963</v>
          </cell>
          <cell r="U274">
            <v>33.78137942808192</v>
          </cell>
        </row>
        <row r="275">
          <cell r="L275">
            <v>266.93714822833601</v>
          </cell>
          <cell r="M275">
            <v>264.03700085267911</v>
          </cell>
          <cell r="N275">
            <v>260.57550548409523</v>
          </cell>
          <cell r="O275">
            <v>256.75543688059588</v>
          </cell>
          <cell r="P275">
            <v>254.26188389272988</v>
          </cell>
          <cell r="Q275">
            <v>250.39877222456906</v>
          </cell>
          <cell r="R275">
            <v>247.4448800224805</v>
          </cell>
          <cell r="S275">
            <v>245.45890536940675</v>
          </cell>
          <cell r="T275">
            <v>244.08142763696111</v>
          </cell>
          <cell r="U275">
            <v>242.87887630543534</v>
          </cell>
        </row>
        <row r="276">
          <cell r="L276">
            <v>19.96345036876194</v>
          </cell>
          <cell r="M276">
            <v>19.540517636766594</v>
          </cell>
          <cell r="N276">
            <v>19.136278679446932</v>
          </cell>
          <cell r="O276">
            <v>18.662722828109761</v>
          </cell>
          <cell r="P276">
            <v>18.251845485258851</v>
          </cell>
          <cell r="Q276">
            <v>17.804535363146901</v>
          </cell>
          <cell r="R276">
            <v>17.312716291580642</v>
          </cell>
          <cell r="S276">
            <v>16.924251508291164</v>
          </cell>
          <cell r="T276">
            <v>16.57558304020267</v>
          </cell>
          <cell r="U276">
            <v>16.291632545685808</v>
          </cell>
        </row>
        <row r="277">
          <cell r="L277">
            <v>371.17481262877106</v>
          </cell>
          <cell r="M277">
            <v>370.2110349572917</v>
          </cell>
          <cell r="N277">
            <v>369.74807124963621</v>
          </cell>
          <cell r="O277">
            <v>369.3369927389823</v>
          </cell>
          <cell r="P277">
            <v>367.81707498624331</v>
          </cell>
          <cell r="Q277">
            <v>368.1839846932873</v>
          </cell>
          <cell r="R277">
            <v>367.0894326162317</v>
          </cell>
          <cell r="S277">
            <v>365.26725940703392</v>
          </cell>
          <cell r="T277">
            <v>363.40152173072653</v>
          </cell>
          <cell r="U277">
            <v>361.74945480475606</v>
          </cell>
        </row>
        <row r="278">
          <cell r="L278">
            <v>760.91638189075218</v>
          </cell>
          <cell r="M278">
            <v>758.76514192336208</v>
          </cell>
          <cell r="N278">
            <v>756.33634987936819</v>
          </cell>
          <cell r="O278">
            <v>753.85204212437338</v>
          </cell>
          <cell r="P278">
            <v>753.18887056747008</v>
          </cell>
          <cell r="Q278">
            <v>751.80149666788475</v>
          </cell>
          <cell r="R278">
            <v>750.22088664724527</v>
          </cell>
          <cell r="S278">
            <v>748.96554203761843</v>
          </cell>
          <cell r="T278">
            <v>747.94777276254342</v>
          </cell>
          <cell r="U278">
            <v>747.06530658284953</v>
          </cell>
        </row>
        <row r="279">
          <cell r="L279">
            <v>190.73374418486682</v>
          </cell>
          <cell r="M279">
            <v>194.5301086291224</v>
          </cell>
          <cell r="N279">
            <v>198.50669310971892</v>
          </cell>
          <cell r="O279">
            <v>202.71404247017944</v>
          </cell>
          <cell r="P279">
            <v>206.4363385322296</v>
          </cell>
          <cell r="Q279">
            <v>211.38375053422533</v>
          </cell>
          <cell r="R279">
            <v>214.67205729591078</v>
          </cell>
          <cell r="S279">
            <v>217.25026870403468</v>
          </cell>
          <cell r="T279">
            <v>219.66113838589709</v>
          </cell>
          <cell r="U279">
            <v>222.09331437456109</v>
          </cell>
        </row>
        <row r="280">
          <cell r="L280">
            <v>146.81326051578446</v>
          </cell>
          <cell r="M280">
            <v>145.88251831796299</v>
          </cell>
          <cell r="N280">
            <v>144.65951297917366</v>
          </cell>
          <cell r="O280">
            <v>143.15554982771374</v>
          </cell>
          <cell r="P280">
            <v>141.85290625880083</v>
          </cell>
          <cell r="Q280">
            <v>139.9482144888336</v>
          </cell>
          <cell r="R280">
            <v>138.81748703259211</v>
          </cell>
          <cell r="S280">
            <v>137.87599705511261</v>
          </cell>
          <cell r="T280">
            <v>137.04094749270376</v>
          </cell>
          <cell r="U280">
            <v>136.31963946390243</v>
          </cell>
        </row>
        <row r="281">
          <cell r="L281">
            <v>57.158559844528263</v>
          </cell>
          <cell r="M281">
            <v>55.858334072752882</v>
          </cell>
          <cell r="N281">
            <v>54.679192569644108</v>
          </cell>
          <cell r="O281">
            <v>53.520343634000099</v>
          </cell>
          <cell r="P281">
            <v>52.278163218426776</v>
          </cell>
          <cell r="Q281">
            <v>51.103844065867577</v>
          </cell>
          <cell r="R281">
            <v>49.682114682417513</v>
          </cell>
          <cell r="S281">
            <v>48.412369004633099</v>
          </cell>
          <cell r="T281">
            <v>47.322921258737338</v>
          </cell>
          <cell r="U281">
            <v>46.321151803195377</v>
          </cell>
        </row>
        <row r="282">
          <cell r="L282">
            <v>186.29386176411685</v>
          </cell>
          <cell r="M282">
            <v>189.22320233465436</v>
          </cell>
          <cell r="N282">
            <v>192.17625747492943</v>
          </cell>
          <cell r="O282">
            <v>194.68458042274369</v>
          </cell>
          <cell r="P282">
            <v>196.61429009020233</v>
          </cell>
          <cell r="Q282">
            <v>198.20135867366753</v>
          </cell>
          <cell r="R282">
            <v>199.81132056198354</v>
          </cell>
          <cell r="S282">
            <v>201.53339442824702</v>
          </cell>
          <cell r="T282">
            <v>203.14623192317922</v>
          </cell>
          <cell r="U282">
            <v>204.6493637111991</v>
          </cell>
        </row>
        <row r="283">
          <cell r="L283">
            <v>587.56418780498552</v>
          </cell>
          <cell r="M283">
            <v>608.12752422410938</v>
          </cell>
          <cell r="N283">
            <v>628.33888574270725</v>
          </cell>
          <cell r="O283">
            <v>645.8407627339617</v>
          </cell>
          <cell r="P283">
            <v>663.01386236728661</v>
          </cell>
          <cell r="Q283">
            <v>675.43721721616612</v>
          </cell>
          <cell r="R283">
            <v>692.43844477954917</v>
          </cell>
          <cell r="S283">
            <v>711.7801201260429</v>
          </cell>
          <cell r="T283">
            <v>731.04224255888187</v>
          </cell>
          <cell r="U283">
            <v>750.33949153148433</v>
          </cell>
        </row>
        <row r="284">
          <cell r="L284">
            <v>735.65947299999425</v>
          </cell>
          <cell r="M284">
            <v>748.07078396897725</v>
          </cell>
          <cell r="N284">
            <v>760.88486246297384</v>
          </cell>
          <cell r="O284">
            <v>773.41602743984902</v>
          </cell>
          <cell r="P284">
            <v>784.86165654672573</v>
          </cell>
          <cell r="Q284">
            <v>797.0186926896406</v>
          </cell>
          <cell r="R284">
            <v>808.0687192488283</v>
          </cell>
          <cell r="S284">
            <v>819.01885846336927</v>
          </cell>
          <cell r="T284">
            <v>829.60074591848763</v>
          </cell>
          <cell r="U284">
            <v>839.9203984771915</v>
          </cell>
        </row>
        <row r="285">
          <cell r="L285">
            <v>396.90070024100811</v>
          </cell>
          <cell r="M285">
            <v>407.55383255603698</v>
          </cell>
          <cell r="N285">
            <v>418.77484920626932</v>
          </cell>
          <cell r="O285">
            <v>430.3519636675465</v>
          </cell>
          <cell r="P285">
            <v>440.4401883294484</v>
          </cell>
          <cell r="Q285">
            <v>453.14961849192059</v>
          </cell>
          <cell r="R285">
            <v>462.53774571302694</v>
          </cell>
          <cell r="S285">
            <v>470.24182065939772</v>
          </cell>
          <cell r="T285">
            <v>477.16204036476756</v>
          </cell>
          <cell r="U285">
            <v>483.8231270158517</v>
          </cell>
        </row>
        <row r="287">
          <cell r="L287">
            <v>5.0398435954747756</v>
          </cell>
          <cell r="M287">
            <v>5.1005799258214752</v>
          </cell>
          <cell r="N287">
            <v>5.1336178009537061</v>
          </cell>
          <cell r="O287">
            <v>5.1817538371834733</v>
          </cell>
          <cell r="P287">
            <v>5.2305781764210835</v>
          </cell>
          <cell r="Q287">
            <v>5.2800073061362784</v>
          </cell>
          <cell r="R287">
            <v>5.3299720473747918</v>
          </cell>
          <cell r="S287">
            <v>5.3804144513422427</v>
          </cell>
          <cell r="T287">
            <v>5.431285492948664</v>
          </cell>
          <cell r="U287">
            <v>5.4825433276726043</v>
          </cell>
        </row>
        <row r="288">
          <cell r="L288">
            <v>0.85549098696068582</v>
          </cell>
          <cell r="M288">
            <v>0.98726764509069864</v>
          </cell>
          <cell r="N288">
            <v>0.97133883839359481</v>
          </cell>
          <cell r="O288">
            <v>0.98537427920147735</v>
          </cell>
          <cell r="P288">
            <v>0.99529782932635158</v>
          </cell>
          <cell r="Q288">
            <v>1.0124171881464903</v>
          </cell>
          <cell r="R288">
            <v>1.0261956357866848</v>
          </cell>
          <cell r="S288">
            <v>1.0399098351349572</v>
          </cell>
          <cell r="T288">
            <v>1.0535437241183272</v>
          </cell>
          <cell r="U288">
            <v>1.0681051978163214</v>
          </cell>
        </row>
        <row r="289">
          <cell r="L289">
            <v>0.1088733902688626</v>
          </cell>
          <cell r="M289">
            <v>0.11088624280863139</v>
          </cell>
          <cell r="N289">
            <v>0.10954042266398704</v>
          </cell>
          <cell r="O289">
            <v>0.10819460251934269</v>
          </cell>
          <cell r="P289">
            <v>0.10684878237469836</v>
          </cell>
          <cell r="Q289">
            <v>0.105502962230054</v>
          </cell>
          <cell r="R289">
            <v>0.10415714208540967</v>
          </cell>
          <cell r="S289">
            <v>0.10281132194076534</v>
          </cell>
          <cell r="T289">
            <v>0.10146550179612099</v>
          </cell>
          <cell r="U289">
            <v>0.10011968165147665</v>
          </cell>
        </row>
        <row r="314">
          <cell r="M314">
            <v>78.090707951153888</v>
          </cell>
          <cell r="N314">
            <v>78.509508525744195</v>
          </cell>
          <cell r="O314">
            <v>79.35207345217529</v>
          </cell>
          <cell r="P314">
            <v>80.788828318707701</v>
          </cell>
          <cell r="Q314">
            <v>82.171267039354618</v>
          </cell>
          <cell r="R314">
            <v>83.852380286537411</v>
          </cell>
          <cell r="S314">
            <v>86.249162082174706</v>
          </cell>
          <cell r="T314">
            <v>89.186176992318977</v>
          </cell>
          <cell r="U314">
            <v>92.232518441017646</v>
          </cell>
        </row>
        <row r="315">
          <cell r="M315">
            <v>34.97448188507429</v>
          </cell>
          <cell r="N315">
            <v>34.858835750588632</v>
          </cell>
          <cell r="O315">
            <v>34.880211759016255</v>
          </cell>
          <cell r="P315">
            <v>34.68238653541524</v>
          </cell>
          <cell r="Q315">
            <v>34.372603738983045</v>
          </cell>
          <cell r="R315">
            <v>34.09134367517234</v>
          </cell>
          <cell r="S315">
            <v>33.988333276220303</v>
          </cell>
          <cell r="T315">
            <v>33.921304356042519</v>
          </cell>
          <cell r="U315">
            <v>33.779703185310268</v>
          </cell>
        </row>
        <row r="316">
          <cell r="M316">
            <v>264.06072106643563</v>
          </cell>
          <cell r="N316">
            <v>260.57676676142478</v>
          </cell>
          <cell r="O316">
            <v>256.74436946020688</v>
          </cell>
          <cell r="P316">
            <v>254.24405002865228</v>
          </cell>
          <cell r="Q316">
            <v>250.37741082037519</v>
          </cell>
          <cell r="R316">
            <v>247.39556298698091</v>
          </cell>
          <cell r="S316">
            <v>245.42557650871771</v>
          </cell>
          <cell r="T316">
            <v>244.056680857385</v>
          </cell>
          <cell r="U316">
            <v>242.85891419332401</v>
          </cell>
        </row>
        <row r="317">
          <cell r="M317">
            <v>19.541598563349304</v>
          </cell>
          <cell r="N317">
            <v>19.135889699602028</v>
          </cell>
          <cell r="O317">
            <v>18.661583778813515</v>
          </cell>
          <cell r="P317">
            <v>18.250344919203087</v>
          </cell>
          <cell r="Q317">
            <v>17.802881384602014</v>
          </cell>
          <cell r="R317">
            <v>17.309469197134483</v>
          </cell>
          <cell r="S317">
            <v>16.922112509211885</v>
          </cell>
          <cell r="T317">
            <v>16.573976262765605</v>
          </cell>
          <cell r="U317">
            <v>16.290267856564984</v>
          </cell>
        </row>
        <row r="318">
          <cell r="M318">
            <v>370.17346464275744</v>
          </cell>
          <cell r="N318">
            <v>369.68657548471282</v>
          </cell>
          <cell r="O318">
            <v>369.26178342828632</v>
          </cell>
          <cell r="P318">
            <v>367.73509274040907</v>
          </cell>
          <cell r="Q318">
            <v>368.09681606307981</v>
          </cell>
          <cell r="R318">
            <v>366.99016979526778</v>
          </cell>
          <cell r="S318">
            <v>365.18680579020571</v>
          </cell>
          <cell r="T318">
            <v>363.3311674664717</v>
          </cell>
          <cell r="U318">
            <v>361.68468868135727</v>
          </cell>
        </row>
        <row r="319">
          <cell r="M319">
            <v>758.78434745284108</v>
          </cell>
          <cell r="N319">
            <v>756.30875281652834</v>
          </cell>
          <cell r="O319">
            <v>753.79721027326275</v>
          </cell>
          <cell r="P319">
            <v>753.11906053278585</v>
          </cell>
          <cell r="Q319">
            <v>751.72252173407753</v>
          </cell>
          <cell r="R319">
            <v>750.0870666985677</v>
          </cell>
          <cell r="S319">
            <v>748.86467980945167</v>
          </cell>
          <cell r="T319">
            <v>747.86496792784646</v>
          </cell>
          <cell r="U319">
            <v>746.99235908326818</v>
          </cell>
        </row>
        <row r="320">
          <cell r="M320">
            <v>194.50493177489</v>
          </cell>
          <cell r="N320">
            <v>198.47534149671765</v>
          </cell>
          <cell r="O320">
            <v>202.67801715784236</v>
          </cell>
          <cell r="P320">
            <v>206.39640886402526</v>
          </cell>
          <cell r="Q320">
            <v>211.34024268518613</v>
          </cell>
          <cell r="R320">
            <v>214.63021851111495</v>
          </cell>
          <cell r="S320">
            <v>217.21226296584737</v>
          </cell>
          <cell r="T320">
            <v>219.62540432249273</v>
          </cell>
          <cell r="U320">
            <v>222.05889772746684</v>
          </cell>
        </row>
        <row r="321">
          <cell r="M321">
            <v>145.8845436149181</v>
          </cell>
          <cell r="N321">
            <v>144.65136025451392</v>
          </cell>
          <cell r="O321">
            <v>143.14193673896716</v>
          </cell>
          <cell r="P321">
            <v>141.83656866579071</v>
          </cell>
          <cell r="Q321">
            <v>139.93043208878277</v>
          </cell>
          <cell r="R321">
            <v>138.78116061016533</v>
          </cell>
          <cell r="S321">
            <v>137.84768386462162</v>
          </cell>
          <cell r="T321">
            <v>137.01721787339631</v>
          </cell>
          <cell r="U321">
            <v>136.29856883434371</v>
          </cell>
        </row>
        <row r="322">
          <cell r="M322">
            <v>55.867016457993266</v>
          </cell>
          <cell r="N322">
            <v>54.681976478289606</v>
          </cell>
          <cell r="O322">
            <v>53.520717216610755</v>
          </cell>
          <cell r="P322">
            <v>52.277008142002877</v>
          </cell>
          <cell r="Q322">
            <v>51.101742583458439</v>
          </cell>
          <cell r="R322">
            <v>49.67388324306274</v>
          </cell>
          <cell r="S322">
            <v>48.407313470296103</v>
          </cell>
          <cell r="T322">
            <v>47.319504321991609</v>
          </cell>
          <cell r="U322">
            <v>46.318460208059875</v>
          </cell>
        </row>
        <row r="323">
          <cell r="M323">
            <v>189.23277783914904</v>
          </cell>
          <cell r="N323">
            <v>192.17127902982426</v>
          </cell>
          <cell r="O323">
            <v>194.670889290421</v>
          </cell>
          <cell r="P323">
            <v>196.59560815967095</v>
          </cell>
          <cell r="Q323">
            <v>198.17949247254583</v>
          </cell>
          <cell r="R323">
            <v>199.76866607755423</v>
          </cell>
          <cell r="S323">
            <v>201.5002249167546</v>
          </cell>
          <cell r="T323">
            <v>203.11818507773941</v>
          </cell>
          <cell r="U323">
            <v>204.62383721708332</v>
          </cell>
        </row>
        <row r="324">
          <cell r="M324">
            <v>608.22458982793466</v>
          </cell>
          <cell r="N324">
            <v>628.37354992745952</v>
          </cell>
          <cell r="O324">
            <v>645.83956977182322</v>
          </cell>
          <cell r="P324">
            <v>662.99410208827442</v>
          </cell>
          <cell r="Q324">
            <v>675.40608097287929</v>
          </cell>
          <cell r="R324">
            <v>692.3023096569292</v>
          </cell>
          <cell r="S324">
            <v>711.68857431332833</v>
          </cell>
          <cell r="T324">
            <v>730.97533467721951</v>
          </cell>
          <cell r="U324">
            <v>750.28529080078715</v>
          </cell>
        </row>
        <row r="325">
          <cell r="M325">
            <v>747.79903135965094</v>
          </cell>
          <cell r="N325">
            <v>760.60344461381601</v>
          </cell>
          <cell r="O325">
            <v>773.12731275179362</v>
          </cell>
          <cell r="P325">
            <v>784.56743222404452</v>
          </cell>
          <cell r="Q325">
            <v>796.7195187250195</v>
          </cell>
          <cell r="R325">
            <v>807.6438180779694</v>
          </cell>
          <cell r="S325">
            <v>818.60314086737844</v>
          </cell>
          <cell r="T325">
            <v>829.19046272947264</v>
          </cell>
          <cell r="U325">
            <v>839.51330355713071</v>
          </cell>
        </row>
        <row r="326">
          <cell r="M326">
            <v>407.55383255603698</v>
          </cell>
          <cell r="N326">
            <v>418.77484920626932</v>
          </cell>
          <cell r="O326">
            <v>430.3519636675465</v>
          </cell>
          <cell r="P326">
            <v>440.4401883294484</v>
          </cell>
          <cell r="Q326">
            <v>453.14961849192059</v>
          </cell>
          <cell r="R326">
            <v>462.53774571302694</v>
          </cell>
          <cell r="S326">
            <v>470.24182065939772</v>
          </cell>
          <cell r="T326">
            <v>477.16204036476756</v>
          </cell>
          <cell r="U326">
            <v>483.8231270158517</v>
          </cell>
        </row>
        <row r="328">
          <cell r="M328">
            <v>5.1664661797198432</v>
          </cell>
          <cell r="N328">
            <v>5.1995092315309277</v>
          </cell>
          <cell r="O328">
            <v>5.2481277779416748</v>
          </cell>
          <cell r="P328">
            <v>5.2974862204649691</v>
          </cell>
          <cell r="Q328">
            <v>5.3481077070408229</v>
          </cell>
          <cell r="R328">
            <v>5.3964207650324285</v>
          </cell>
          <cell r="S328">
            <v>5.4482943339521883</v>
          </cell>
          <cell r="T328">
            <v>5.5004524771664158</v>
          </cell>
          <cell r="U328">
            <v>5.5529416297688172</v>
          </cell>
        </row>
        <row r="329">
          <cell r="M329">
            <v>1.5743331621282919</v>
          </cell>
          <cell r="N329">
            <v>1.5526310388832696</v>
          </cell>
          <cell r="O329">
            <v>1.5652996408294286</v>
          </cell>
          <cell r="P329">
            <v>1.5743548296801715</v>
          </cell>
          <cell r="Q329">
            <v>1.596594932880719</v>
          </cell>
          <cell r="R329">
            <v>1.5900973221256636</v>
          </cell>
          <cell r="S329">
            <v>1.6112195941554255</v>
          </cell>
          <cell r="T329">
            <v>1.6309057640118032</v>
          </cell>
          <cell r="U329">
            <v>1.6509710456283599</v>
          </cell>
        </row>
        <row r="330">
          <cell r="M330">
            <v>0.11088624280863139</v>
          </cell>
          <cell r="N330">
            <v>0.10954042266398704</v>
          </cell>
          <cell r="O330">
            <v>0.10819460251934269</v>
          </cell>
          <cell r="P330">
            <v>0.10684878237469836</v>
          </cell>
          <cell r="Q330">
            <v>0.105502962230054</v>
          </cell>
          <cell r="R330">
            <v>0.10415714208540967</v>
          </cell>
          <cell r="S330">
            <v>0.10281132194076534</v>
          </cell>
          <cell r="T330">
            <v>0.10146550179612099</v>
          </cell>
          <cell r="U330">
            <v>0.10011968165147665</v>
          </cell>
        </row>
      </sheetData>
      <sheetData sheetId="7">
        <row r="985">
          <cell r="L985">
            <v>-30.52859999999896</v>
          </cell>
          <cell r="M985">
            <v>-31.179700000000821</v>
          </cell>
          <cell r="N985">
            <v>-32.17423000000008</v>
          </cell>
          <cell r="O985">
            <v>-33.315930000000435</v>
          </cell>
          <cell r="P985">
            <v>-34.789830000000848</v>
          </cell>
          <cell r="Q985">
            <v>-14.694430000000693</v>
          </cell>
          <cell r="R985">
            <v>-15.344129999999723</v>
          </cell>
          <cell r="S985">
            <v>-15.854329999998072</v>
          </cell>
          <cell r="T985">
            <v>-16.295429999996259</v>
          </cell>
        </row>
        <row r="988">
          <cell r="L988">
            <v>-2.1627999999958618</v>
          </cell>
          <cell r="M988">
            <v>-2.6657999999848272</v>
          </cell>
          <cell r="N988">
            <v>-2.7811299999878685</v>
          </cell>
          <cell r="O988">
            <v>-2.6906299999800609</v>
          </cell>
          <cell r="P988">
            <v>-2.5520299999699461</v>
          </cell>
          <cell r="Q988">
            <v>-3.6721299999598784</v>
          </cell>
          <cell r="R988">
            <v>-1.8711299999671667</v>
          </cell>
          <cell r="S988">
            <v>-0.23402999994337392</v>
          </cell>
          <cell r="T988">
            <v>1.1451700000475853</v>
          </cell>
        </row>
      </sheetData>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 Make"/>
      <sheetName val="Table 2 Use"/>
      <sheetName val="Table 3 Imports"/>
      <sheetName val="Part1"/>
      <sheetName val="Part2"/>
      <sheetName val="Part3"/>
      <sheetName val="IOPC(2006)-HEC(2004)"/>
      <sheetName val="IOPC 2006 and CPI 15th series "/>
      <sheetName val="Final IOPC and IOPG table"/>
      <sheetName val="Thoroghbred Racing Indust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2" t="str">
            <v>IOPC</v>
          </cell>
          <cell r="B2" t="str">
            <v>Commodity category</v>
          </cell>
          <cell r="C2" t="str">
            <v>Industry</v>
          </cell>
          <cell r="E2" t="str">
            <v>Commodity Supply</v>
          </cell>
          <cell r="H2" t="str">
            <v>Industry supply</v>
          </cell>
          <cell r="K2" t="str">
            <v>IGVA</v>
          </cell>
        </row>
        <row r="3">
          <cell r="E3" t="str">
            <v>domestic</v>
          </cell>
          <cell r="F3" t="str">
            <v>imports</v>
          </cell>
          <cell r="G3" t="str">
            <v>total</v>
          </cell>
          <cell r="H3" t="str">
            <v>domestic</v>
          </cell>
          <cell r="I3" t="str">
            <v>imports</v>
          </cell>
          <cell r="J3" t="str">
            <v>total</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Explanatory Notes"/>
      <sheetName val="Table 2"/>
      <sheetName val="Table 2.1"/>
      <sheetName val="Table2.1.txt"/>
      <sheetName val="Sheet1"/>
    </sheetNames>
    <sheetDataSet>
      <sheetData sheetId="0"/>
      <sheetData sheetId="1"/>
      <sheetData sheetId="2"/>
      <sheetData sheetId="3">
        <row r="136">
          <cell r="DO136">
            <v>1201980</v>
          </cell>
        </row>
        <row r="137">
          <cell r="DI137">
            <v>0.33261723090599304</v>
          </cell>
          <cell r="DJ137">
            <v>0.46387671426551674</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1.Disclaimer"/>
      <sheetName val="2.Summary"/>
      <sheetName val="3.Macro"/>
      <sheetName val="4.IGVA"/>
      <sheetName val="5.Employ"/>
      <sheetName val="6.TaxRev"/>
      <sheetName val="7.Figures"/>
      <sheetName val="base"/>
      <sheetName val="policy"/>
      <sheetName val="dev"/>
      <sheetName val="definition"/>
    </sheetNames>
    <sheetDataSet>
      <sheetData sheetId="0"/>
      <sheetData sheetId="1"/>
      <sheetData sheetId="2"/>
      <sheetData sheetId="3"/>
      <sheetData sheetId="4">
        <row r="14">
          <cell r="P14">
            <v>483126.72604559996</v>
          </cell>
          <cell r="Q14">
            <v>494345.26681308704</v>
          </cell>
          <cell r="R14">
            <v>505701.86062758404</v>
          </cell>
          <cell r="S14">
            <v>517464.789326898</v>
          </cell>
          <cell r="T14">
            <v>530140.86553864426</v>
          </cell>
          <cell r="U14">
            <v>542927.28006048419</v>
          </cell>
          <cell r="V14">
            <v>556029.79840291187</v>
          </cell>
          <cell r="W14">
            <v>569865.82149445056</v>
          </cell>
          <cell r="X14">
            <v>584196.69320022874</v>
          </cell>
          <cell r="Y14">
            <v>598850.39095411671</v>
          </cell>
        </row>
        <row r="19">
          <cell r="Q19">
            <v>494367.10414110427</v>
          </cell>
          <cell r="R19">
            <v>505715.30101666332</v>
          </cell>
          <cell r="S19">
            <v>517472.82776459004</v>
          </cell>
          <cell r="T19">
            <v>530145.37508556538</v>
          </cell>
          <cell r="U19">
            <v>542929.14161676622</v>
          </cell>
          <cell r="V19">
            <v>556027.63291575573</v>
          </cell>
          <cell r="W19">
            <v>569863.32410836185</v>
          </cell>
          <cell r="X19">
            <v>584193.96205137693</v>
          </cell>
          <cell r="Y19">
            <v>598847.35762090783</v>
          </cell>
        </row>
      </sheetData>
      <sheetData sheetId="5">
        <row r="313">
          <cell r="L313">
            <v>6801.1851561408848</v>
          </cell>
          <cell r="M313">
            <v>6893.6118300884636</v>
          </cell>
          <cell r="N313">
            <v>6991.9906692935974</v>
          </cell>
          <cell r="O313">
            <v>7110.524016751132</v>
          </cell>
          <cell r="P313">
            <v>7255.1334606669943</v>
          </cell>
          <cell r="Q313">
            <v>7406.8720148673156</v>
          </cell>
          <cell r="R313">
            <v>7572.471593963819</v>
          </cell>
          <cell r="S313">
            <v>7762.441124604451</v>
          </cell>
          <cell r="T313">
            <v>7972.3074548564809</v>
          </cell>
          <cell r="U313">
            <v>8191.3182061275365</v>
          </cell>
        </row>
        <row r="314">
          <cell r="L314">
            <v>15669.261823813296</v>
          </cell>
          <cell r="M314">
            <v>16575.196602717609</v>
          </cell>
          <cell r="N314">
            <v>17463.728204317267</v>
          </cell>
          <cell r="O314">
            <v>18308.967444255046</v>
          </cell>
          <cell r="P314">
            <v>19107.385064004342</v>
          </cell>
          <cell r="Q314">
            <v>19838.472358112784</v>
          </cell>
          <cell r="R314">
            <v>20539.073435598537</v>
          </cell>
          <cell r="S314">
            <v>21215.327883232272</v>
          </cell>
          <cell r="T314">
            <v>21860.997236442337</v>
          </cell>
          <cell r="U314">
            <v>22484.873222179613</v>
          </cell>
        </row>
        <row r="315">
          <cell r="L315">
            <v>34419.199186824735</v>
          </cell>
          <cell r="M315">
            <v>34574.3199093492</v>
          </cell>
          <cell r="N315">
            <v>34667.139606830031</v>
          </cell>
          <cell r="O315">
            <v>34759.802382642803</v>
          </cell>
          <cell r="P315">
            <v>35043.31115663363</v>
          </cell>
          <cell r="Q315">
            <v>35191.290958623133</v>
          </cell>
          <cell r="R315">
            <v>35392.373811757338</v>
          </cell>
          <cell r="S315">
            <v>35685.63796236553</v>
          </cell>
          <cell r="T315">
            <v>36039.836598282978</v>
          </cell>
          <cell r="U315">
            <v>36423.204379114701</v>
          </cell>
        </row>
        <row r="316">
          <cell r="L316">
            <v>12264.410284140358</v>
          </cell>
          <cell r="M316">
            <v>12439.715232960445</v>
          </cell>
          <cell r="N316">
            <v>12602.34517747927</v>
          </cell>
          <cell r="O316">
            <v>12763.99430119611</v>
          </cell>
          <cell r="P316">
            <v>12954.127170311658</v>
          </cell>
          <cell r="Q316">
            <v>13150.151592990234</v>
          </cell>
          <cell r="R316">
            <v>13356.360830326441</v>
          </cell>
          <cell r="S316">
            <v>13594.619816832115</v>
          </cell>
          <cell r="T316">
            <v>13837.055731365786</v>
          </cell>
          <cell r="U316">
            <v>14088.20999704008</v>
          </cell>
        </row>
        <row r="317">
          <cell r="L317">
            <v>25526.286387900003</v>
          </cell>
          <cell r="M317">
            <v>26207.42215598881</v>
          </cell>
          <cell r="N317">
            <v>26799.935280544702</v>
          </cell>
          <cell r="O317">
            <v>27352.01930731098</v>
          </cell>
          <cell r="P317">
            <v>27851.272980525398</v>
          </cell>
          <cell r="Q317">
            <v>28399.541999910831</v>
          </cell>
          <cell r="R317">
            <v>28873.561595385545</v>
          </cell>
          <cell r="S317">
            <v>29316.909358970366</v>
          </cell>
          <cell r="T317">
            <v>29756.425532389116</v>
          </cell>
          <cell r="U317">
            <v>30194.844803613123</v>
          </cell>
        </row>
        <row r="318">
          <cell r="L318">
            <v>41551.416388000005</v>
          </cell>
          <cell r="M318">
            <v>42055.10265745534</v>
          </cell>
          <cell r="N318">
            <v>42521.455896334126</v>
          </cell>
          <cell r="O318">
            <v>43035.047049232409</v>
          </cell>
          <cell r="P318">
            <v>43706.432514742773</v>
          </cell>
          <cell r="Q318">
            <v>44380.765950082983</v>
          </cell>
          <cell r="R318">
            <v>45058.557883825844</v>
          </cell>
          <cell r="S318">
            <v>45810.139135183854</v>
          </cell>
          <cell r="T318">
            <v>46625.05570025964</v>
          </cell>
          <cell r="U318">
            <v>47472.773812979474</v>
          </cell>
        </row>
        <row r="319">
          <cell r="L319">
            <v>13119.405382999999</v>
          </cell>
          <cell r="M319">
            <v>13331.290339638141</v>
          </cell>
          <cell r="N319">
            <v>13570.704316589634</v>
          </cell>
          <cell r="O319">
            <v>13857.698928547303</v>
          </cell>
          <cell r="P319">
            <v>14163.31800648738</v>
          </cell>
          <cell r="Q319">
            <v>14549.391643030816</v>
          </cell>
          <cell r="R319">
            <v>14868.446707310002</v>
          </cell>
          <cell r="S319">
            <v>15171.608388293369</v>
          </cell>
          <cell r="T319">
            <v>15482.544433568086</v>
          </cell>
          <cell r="U319">
            <v>15799.888598568486</v>
          </cell>
        </row>
        <row r="320">
          <cell r="L320">
            <v>22910.695487353783</v>
          </cell>
          <cell r="M320">
            <v>23299.611056665315</v>
          </cell>
          <cell r="N320">
            <v>23672.102367484255</v>
          </cell>
          <cell r="O320">
            <v>24062.873758371752</v>
          </cell>
          <cell r="P320">
            <v>24524.196578337276</v>
          </cell>
          <cell r="Q320">
            <v>24955.585462151863</v>
          </cell>
          <cell r="R320">
            <v>25466.38107804305</v>
          </cell>
          <cell r="S320">
            <v>26029.249329694194</v>
          </cell>
          <cell r="T320">
            <v>26624.748823650254</v>
          </cell>
          <cell r="U320">
            <v>27245.764565824666</v>
          </cell>
        </row>
        <row r="321">
          <cell r="L321">
            <v>19153.615622600002</v>
          </cell>
          <cell r="M321">
            <v>19941.377018095667</v>
          </cell>
          <cell r="N321">
            <v>20765.98286985945</v>
          </cell>
          <cell r="O321">
            <v>21631.452967721441</v>
          </cell>
          <cell r="P321">
            <v>22531.144033264318</v>
          </cell>
          <cell r="Q321">
            <v>23467.290536702418</v>
          </cell>
          <cell r="R321">
            <v>24400.401636480885</v>
          </cell>
          <cell r="S321">
            <v>25346.629691622304</v>
          </cell>
          <cell r="T321">
            <v>26301.102656593786</v>
          </cell>
          <cell r="U321">
            <v>27267.084294744633</v>
          </cell>
        </row>
        <row r="322">
          <cell r="L322">
            <v>56049.221151999998</v>
          </cell>
          <cell r="M322">
            <v>57773.74358840473</v>
          </cell>
          <cell r="N322">
            <v>59574.86893164504</v>
          </cell>
          <cell r="O322">
            <v>61439.324029729803</v>
          </cell>
          <cell r="P322">
            <v>63358.620929162127</v>
          </cell>
          <cell r="Q322">
            <v>65295.576337173829</v>
          </cell>
          <cell r="R322">
            <v>67284.83218851636</v>
          </cell>
          <cell r="S322">
            <v>69376.542680693645</v>
          </cell>
          <cell r="T322">
            <v>71521.845759391668</v>
          </cell>
          <cell r="U322">
            <v>73698.563069786731</v>
          </cell>
        </row>
        <row r="323">
          <cell r="L323">
            <v>67727.481787600002</v>
          </cell>
          <cell r="M323">
            <v>70043.003116939901</v>
          </cell>
          <cell r="N323">
            <v>72385.65439488877</v>
          </cell>
          <cell r="O323">
            <v>74666.352639301171</v>
          </cell>
          <cell r="P323">
            <v>77094.48749386071</v>
          </cell>
          <cell r="Q323">
            <v>79219.057380216516</v>
          </cell>
          <cell r="R323">
            <v>81721.143776136232</v>
          </cell>
          <cell r="S323">
            <v>84533.094784443674</v>
          </cell>
          <cell r="T323">
            <v>87469.38564501924</v>
          </cell>
          <cell r="U323">
            <v>90487.061955895275</v>
          </cell>
        </row>
        <row r="324">
          <cell r="L324">
            <v>77176.690303199997</v>
          </cell>
          <cell r="M324">
            <v>78755.655927782194</v>
          </cell>
          <cell r="N324">
            <v>80518.365018757802</v>
          </cell>
          <cell r="O324">
            <v>82535.350062477693</v>
          </cell>
          <cell r="P324">
            <v>84773.221797606719</v>
          </cell>
          <cell r="Q324">
            <v>87245.26828648019</v>
          </cell>
          <cell r="R324">
            <v>89713.91677528029</v>
          </cell>
          <cell r="S324">
            <v>92378.41113211443</v>
          </cell>
          <cell r="T324">
            <v>95194.197481832409</v>
          </cell>
          <cell r="U324">
            <v>98101.95184101371</v>
          </cell>
        </row>
        <row r="325">
          <cell r="L325">
            <v>12470.944018556109</v>
          </cell>
          <cell r="M325">
            <v>12741.362721560077</v>
          </cell>
          <cell r="N325">
            <v>13043.772595074945</v>
          </cell>
          <cell r="O325">
            <v>13393.228306669598</v>
          </cell>
          <cell r="P325">
            <v>13749.277905942594</v>
          </cell>
          <cell r="Q325">
            <v>14193.611945101151</v>
          </cell>
          <cell r="R325">
            <v>14564.967930588</v>
          </cell>
          <cell r="S325">
            <v>14916.507996560671</v>
          </cell>
          <cell r="T325">
            <v>15268.865748455428</v>
          </cell>
          <cell r="U325">
            <v>15622.964487141282</v>
          </cell>
        </row>
        <row r="326">
          <cell r="L326">
            <v>44804.728590999999</v>
          </cell>
          <cell r="M326">
            <v>46146.088075084495</v>
          </cell>
          <cell r="N326">
            <v>47539.252317897714</v>
          </cell>
          <cell r="O326">
            <v>48980.62343247544</v>
          </cell>
          <cell r="P326">
            <v>50477.912110182784</v>
          </cell>
          <cell r="Q326">
            <v>52019.315729961745</v>
          </cell>
          <cell r="R326">
            <v>53641.522485205889</v>
          </cell>
          <cell r="S326">
            <v>55289.014565294019</v>
          </cell>
          <cell r="T326">
            <v>56937.036338047561</v>
          </cell>
          <cell r="U326">
            <v>58579.891890841958</v>
          </cell>
        </row>
        <row r="327">
          <cell r="L327">
            <v>604.77959442416727</v>
          </cell>
          <cell r="M327">
            <v>612.06793433750715</v>
          </cell>
          <cell r="N327">
            <v>616.03246862207254</v>
          </cell>
          <cell r="O327">
            <v>621.80877733418504</v>
          </cell>
          <cell r="P327">
            <v>627.66768218366542</v>
          </cell>
          <cell r="Q327">
            <v>633.59916169400901</v>
          </cell>
          <cell r="R327">
            <v>639.59491441317448</v>
          </cell>
          <cell r="S327">
            <v>645.64798650465889</v>
          </cell>
          <cell r="T327">
            <v>651.7524949735905</v>
          </cell>
          <cell r="U327">
            <v>657.90341849098695</v>
          </cell>
        </row>
        <row r="328">
          <cell r="L328">
            <v>102.65891843528229</v>
          </cell>
          <cell r="M328">
            <v>118.47211741088383</v>
          </cell>
          <cell r="N328">
            <v>116.56066060723137</v>
          </cell>
          <cell r="O328">
            <v>118.24491350417728</v>
          </cell>
          <cell r="P328">
            <v>119.43573951916218</v>
          </cell>
          <cell r="Q328">
            <v>121.49006257757883</v>
          </cell>
          <cell r="R328">
            <v>123.14347629440218</v>
          </cell>
          <cell r="S328">
            <v>124.78918021619485</v>
          </cell>
          <cell r="T328">
            <v>126.42524689419926</v>
          </cell>
          <cell r="U328">
            <v>128.17262373795856</v>
          </cell>
        </row>
        <row r="329">
          <cell r="L329">
            <v>12.835960627557233</v>
          </cell>
          <cell r="M329">
            <v>13.073272020963341</v>
          </cell>
          <cell r="N329">
            <v>12.914602447564663</v>
          </cell>
          <cell r="O329">
            <v>12.755932874165985</v>
          </cell>
          <cell r="P329">
            <v>12.59726330076731</v>
          </cell>
          <cell r="Q329">
            <v>12.438593727368628</v>
          </cell>
          <cell r="R329">
            <v>12.279924153969953</v>
          </cell>
          <cell r="S329">
            <v>12.121254580571275</v>
          </cell>
          <cell r="T329">
            <v>11.962585007172597</v>
          </cell>
          <cell r="U329">
            <v>11.80391543377392</v>
          </cell>
        </row>
        <row r="377">
          <cell r="M377">
            <v>6893.7949099795151</v>
          </cell>
          <cell r="N377">
            <v>6992.0873970032371</v>
          </cell>
          <cell r="O377">
            <v>7110.5668064371357</v>
          </cell>
          <cell r="P377">
            <v>7255.1445852894003</v>
          </cell>
          <cell r="Q377">
            <v>7406.8637668241408</v>
          </cell>
          <cell r="R377">
            <v>7572.4674550124937</v>
          </cell>
          <cell r="S377">
            <v>7762.4441607374501</v>
          </cell>
          <cell r="T377">
            <v>7972.3150337152674</v>
          </cell>
          <cell r="U377">
            <v>8191.3298195835796</v>
          </cell>
        </row>
        <row r="378">
          <cell r="M378">
            <v>16575.476695676789</v>
          </cell>
          <cell r="N378">
            <v>17464.082740248054</v>
          </cell>
          <cell r="O378">
            <v>18309.390404833946</v>
          </cell>
          <cell r="P378">
            <v>19107.851989261741</v>
          </cell>
          <cell r="Q378">
            <v>19838.961353591701</v>
          </cell>
          <cell r="R378">
            <v>20539.583771967154</v>
          </cell>
          <cell r="S378">
            <v>21215.874866622016</v>
          </cell>
          <cell r="T378">
            <v>21861.579372488079</v>
          </cell>
          <cell r="U378">
            <v>22485.490556205579</v>
          </cell>
        </row>
        <row r="379">
          <cell r="M379">
            <v>34576.348015331736</v>
          </cell>
          <cell r="N379">
            <v>34668.293311651745</v>
          </cell>
          <cell r="O379">
            <v>34760.424754943626</v>
          </cell>
          <cell r="P379">
            <v>35043.610987432075</v>
          </cell>
          <cell r="Q379">
            <v>35191.393605391975</v>
          </cell>
          <cell r="R379">
            <v>35392.43311515556</v>
          </cell>
          <cell r="S379">
            <v>35685.732872183995</v>
          </cell>
          <cell r="T379">
            <v>36039.955088004092</v>
          </cell>
          <cell r="U379">
            <v>36423.346210502503</v>
          </cell>
        </row>
        <row r="380">
          <cell r="M380">
            <v>12439.914590229402</v>
          </cell>
          <cell r="N380">
            <v>12602.419340807934</v>
          </cell>
          <cell r="O380">
            <v>12763.981333800924</v>
          </cell>
          <cell r="P380">
            <v>12954.061350011649</v>
          </cell>
          <cell r="Q380">
            <v>13150.044416424378</v>
          </cell>
          <cell r="R380">
            <v>13356.216064871729</v>
          </cell>
          <cell r="S380">
            <v>13594.444559919892</v>
          </cell>
          <cell r="T380">
            <v>13836.843483512886</v>
          </cell>
          <cell r="U380">
            <v>14087.959048859753</v>
          </cell>
        </row>
        <row r="381">
          <cell r="M381">
            <v>26207.613603136717</v>
          </cell>
          <cell r="N381">
            <v>26799.661939761099</v>
          </cell>
          <cell r="O381">
            <v>27351.416059743093</v>
          </cell>
          <cell r="P381">
            <v>27850.437175469891</v>
          </cell>
          <cell r="Q381">
            <v>28398.505928645962</v>
          </cell>
          <cell r="R381">
            <v>28872.042495454356</v>
          </cell>
          <cell r="S381">
            <v>29315.260107006325</v>
          </cell>
          <cell r="T381">
            <v>29754.657746172208</v>
          </cell>
          <cell r="U381">
            <v>30192.976584896849</v>
          </cell>
        </row>
        <row r="382">
          <cell r="M382">
            <v>42056.748093544309</v>
          </cell>
          <cell r="N382">
            <v>42522.122833898611</v>
          </cell>
          <cell r="O382">
            <v>43035.084210493063</v>
          </cell>
          <cell r="P382">
            <v>43706.100154028332</v>
          </cell>
          <cell r="Q382">
            <v>44380.205560364011</v>
          </cell>
          <cell r="R382">
            <v>45057.891299270763</v>
          </cell>
          <cell r="S382">
            <v>45809.497478244775</v>
          </cell>
          <cell r="T382">
            <v>46624.416371734515</v>
          </cell>
          <cell r="U382">
            <v>47472.127522880481</v>
          </cell>
        </row>
        <row r="383">
          <cell r="M383">
            <v>13331.185384395076</v>
          </cell>
          <cell r="N383">
            <v>13570.424171066352</v>
          </cell>
          <cell r="O383">
            <v>13857.262226770181</v>
          </cell>
          <cell r="P383">
            <v>14162.748344011774</v>
          </cell>
          <cell r="Q383">
            <v>14548.683236386094</v>
          </cell>
          <cell r="R383">
            <v>14867.577279112766</v>
          </cell>
          <cell r="S383">
            <v>15170.698931437044</v>
          </cell>
          <cell r="T383">
            <v>15481.592064638984</v>
          </cell>
          <cell r="U383">
            <v>15798.901227436618</v>
          </cell>
        </row>
        <row r="384">
          <cell r="M384">
            <v>23300.515763305997</v>
          </cell>
          <cell r="N384">
            <v>23672.479291057509</v>
          </cell>
          <cell r="O384">
            <v>24062.961390764252</v>
          </cell>
          <cell r="P384">
            <v>24524.121635346019</v>
          </cell>
          <cell r="Q384">
            <v>24955.412656087214</v>
          </cell>
          <cell r="R384">
            <v>25465.903143363932</v>
          </cell>
          <cell r="S384">
            <v>26028.764617214165</v>
          </cell>
          <cell r="T384">
            <v>26624.248357708035</v>
          </cell>
          <cell r="U384">
            <v>27245.248317033809</v>
          </cell>
        </row>
        <row r="385">
          <cell r="M385">
            <v>19941.984187710907</v>
          </cell>
          <cell r="N385">
            <v>20766.413732808738</v>
          </cell>
          <cell r="O385">
            <v>21631.756422979</v>
          </cell>
          <cell r="P385">
            <v>22531.360603692712</v>
          </cell>
          <cell r="Q385">
            <v>23467.416967428882</v>
          </cell>
          <cell r="R385">
            <v>24400.582375946815</v>
          </cell>
          <cell r="S385">
            <v>25346.805239728943</v>
          </cell>
          <cell r="T385">
            <v>26301.259468475128</v>
          </cell>
          <cell r="U385">
            <v>27267.199523714346</v>
          </cell>
        </row>
        <row r="386">
          <cell r="M386">
            <v>57775.895878496965</v>
          </cell>
          <cell r="N386">
            <v>59575.98480084577</v>
          </cell>
          <cell r="O386">
            <v>61439.765866953901</v>
          </cell>
          <cell r="P386">
            <v>63358.548186908636</v>
          </cell>
          <cell r="Q386">
            <v>65295.178242499322</v>
          </cell>
          <cell r="R386">
            <v>67284.487260906593</v>
          </cell>
          <cell r="S386">
            <v>69376.187030181303</v>
          </cell>
          <cell r="T386">
            <v>71521.451360765976</v>
          </cell>
          <cell r="U386">
            <v>73698.085146463578</v>
          </cell>
        </row>
        <row r="387">
          <cell r="M387">
            <v>70047.662767686896</v>
          </cell>
          <cell r="N387">
            <v>72387.955180755307</v>
          </cell>
          <cell r="O387">
            <v>74667.227486736228</v>
          </cell>
          <cell r="P387">
            <v>77094.591851825287</v>
          </cell>
          <cell r="Q387">
            <v>79218.694337067587</v>
          </cell>
          <cell r="R387">
            <v>81721.395094172534</v>
          </cell>
          <cell r="S387">
            <v>84533.460987921047</v>
          </cell>
          <cell r="T387">
            <v>87469.840648835772</v>
          </cell>
          <cell r="U387">
            <v>90487.54140423653</v>
          </cell>
        </row>
        <row r="388">
          <cell r="M388">
            <v>78755.779410486692</v>
          </cell>
          <cell r="N388">
            <v>80517.892721328681</v>
          </cell>
          <cell r="O388">
            <v>82534.527758848533</v>
          </cell>
          <cell r="P388">
            <v>84772.047059843695</v>
          </cell>
          <cell r="Q388">
            <v>87243.779544786375</v>
          </cell>
          <cell r="R388">
            <v>89700.808659350296</v>
          </cell>
          <cell r="S388">
            <v>92364.985467099061</v>
          </cell>
          <cell r="T388">
            <v>95180.418008113003</v>
          </cell>
          <cell r="U388">
            <v>98087.818092672431</v>
          </cell>
        </row>
        <row r="389">
          <cell r="M389">
            <v>12741.362721560077</v>
          </cell>
          <cell r="N389">
            <v>13043.772595074945</v>
          </cell>
          <cell r="O389">
            <v>13393.228306669598</v>
          </cell>
          <cell r="P389">
            <v>13749.277905942594</v>
          </cell>
          <cell r="Q389">
            <v>14193.611945101151</v>
          </cell>
          <cell r="R389">
            <v>14564.967930588</v>
          </cell>
          <cell r="S389">
            <v>14916.507996560671</v>
          </cell>
          <cell r="T389">
            <v>15268.865748455428</v>
          </cell>
          <cell r="U389">
            <v>15622.964487141282</v>
          </cell>
        </row>
        <row r="390">
          <cell r="M390">
            <v>46146.088075084495</v>
          </cell>
          <cell r="N390">
            <v>47538.943139107614</v>
          </cell>
          <cell r="O390">
            <v>48980.043415320833</v>
          </cell>
          <cell r="P390">
            <v>50477.02538022762</v>
          </cell>
          <cell r="Q390">
            <v>52018.10915589612</v>
          </cell>
          <cell r="R390">
            <v>53639.992184889634</v>
          </cell>
          <cell r="S390">
            <v>55287.099332913393</v>
          </cell>
          <cell r="T390">
            <v>56934.704651423606</v>
          </cell>
          <cell r="U390">
            <v>58577.145624266952</v>
          </cell>
        </row>
        <row r="391">
          <cell r="M391">
            <v>612.50865749912293</v>
          </cell>
          <cell r="N391">
            <v>616.48352466986819</v>
          </cell>
          <cell r="O391">
            <v>622.27335293570422</v>
          </cell>
          <cell r="P391">
            <v>628.14300045746074</v>
          </cell>
          <cell r="Q391">
            <v>634.08942815999387</v>
          </cell>
          <cell r="R391">
            <v>640.10565509822288</v>
          </cell>
          <cell r="S391">
            <v>646.17411521525787</v>
          </cell>
          <cell r="T391">
            <v>652.29344022148246</v>
          </cell>
          <cell r="U391">
            <v>658.45881870660992</v>
          </cell>
        </row>
        <row r="392">
          <cell r="M392">
            <v>122.21826428461833</v>
          </cell>
          <cell r="N392">
            <v>120.39463701349436</v>
          </cell>
          <cell r="O392">
            <v>122.19380611709056</v>
          </cell>
          <cell r="P392">
            <v>123.47594484642264</v>
          </cell>
          <cell r="Q392">
            <v>125.65732753845013</v>
          </cell>
          <cell r="R392">
            <v>126.2079204046926</v>
          </cell>
          <cell r="S392">
            <v>127.94595247978889</v>
          </cell>
          <cell r="T392">
            <v>129.67091838155113</v>
          </cell>
          <cell r="U392">
            <v>131.50502503169665</v>
          </cell>
        </row>
        <row r="393">
          <cell r="M393">
            <v>13.293633601771253</v>
          </cell>
          <cell r="N393">
            <v>13.140130471462486</v>
          </cell>
          <cell r="O393">
            <v>12.988220674925589</v>
          </cell>
          <cell r="P393">
            <v>12.834922437664982</v>
          </cell>
          <cell r="Q393">
            <v>12.683726960361058</v>
          </cell>
          <cell r="R393">
            <v>12.790664839018357</v>
          </cell>
          <cell r="S393">
            <v>12.64738329117028</v>
          </cell>
          <cell r="T393">
            <v>12.503530255064575</v>
          </cell>
          <cell r="U393">
            <v>12.359315649396933</v>
          </cell>
        </row>
      </sheetData>
      <sheetData sheetId="6">
        <row r="273">
          <cell r="L273">
            <v>77.604999288894675</v>
          </cell>
          <cell r="M273">
            <v>78.081361548727614</v>
          </cell>
          <cell r="N273">
            <v>78.507300959650323</v>
          </cell>
          <cell r="O273">
            <v>79.353803719325214</v>
          </cell>
          <cell r="P273">
            <v>80.792986864857852</v>
          </cell>
          <cell r="Q273">
            <v>82.176831618323462</v>
          </cell>
          <cell r="R273">
            <v>83.868303909149006</v>
          </cell>
          <cell r="S273">
            <v>86.260008195317639</v>
          </cell>
          <cell r="T273">
            <v>89.194423142921437</v>
          </cell>
          <cell r="U273">
            <v>92.239384907168173</v>
          </cell>
        </row>
        <row r="274">
          <cell r="L274">
            <v>34.75673466035321</v>
          </cell>
          <cell r="M274">
            <v>34.971550192408081</v>
          </cell>
          <cell r="N274">
            <v>34.85788228956077</v>
          </cell>
          <cell r="O274">
            <v>34.880425670362278</v>
          </cell>
          <cell r="P274">
            <v>34.683150256788821</v>
          </cell>
          <cell r="Q274">
            <v>34.373634286771036</v>
          </cell>
          <cell r="R274">
            <v>34.096076613372723</v>
          </cell>
          <cell r="S274">
            <v>33.991445748654542</v>
          </cell>
          <cell r="T274">
            <v>33.923496893170963</v>
          </cell>
          <cell r="U274">
            <v>33.78137942808192</v>
          </cell>
        </row>
        <row r="275">
          <cell r="L275">
            <v>266.93714822833601</v>
          </cell>
          <cell r="M275">
            <v>264.03700085267911</v>
          </cell>
          <cell r="N275">
            <v>260.57550548409523</v>
          </cell>
          <cell r="O275">
            <v>256.75543688059588</v>
          </cell>
          <cell r="P275">
            <v>254.26188389272988</v>
          </cell>
          <cell r="Q275">
            <v>250.39877222456906</v>
          </cell>
          <cell r="R275">
            <v>247.4448800224805</v>
          </cell>
          <cell r="S275">
            <v>245.45890536940675</v>
          </cell>
          <cell r="T275">
            <v>244.08142763696111</v>
          </cell>
          <cell r="U275">
            <v>242.87887630543534</v>
          </cell>
        </row>
        <row r="276">
          <cell r="L276">
            <v>19.96345036876194</v>
          </cell>
          <cell r="M276">
            <v>19.540517636766594</v>
          </cell>
          <cell r="N276">
            <v>19.136278679446932</v>
          </cell>
          <cell r="O276">
            <v>18.662722828109761</v>
          </cell>
          <cell r="P276">
            <v>18.251845485258851</v>
          </cell>
          <cell r="Q276">
            <v>17.804535363146901</v>
          </cell>
          <cell r="R276">
            <v>17.312716291580642</v>
          </cell>
          <cell r="S276">
            <v>16.924251508291164</v>
          </cell>
          <cell r="T276">
            <v>16.57558304020267</v>
          </cell>
          <cell r="U276">
            <v>16.291632545685808</v>
          </cell>
        </row>
        <row r="277">
          <cell r="L277">
            <v>371.17481262877106</v>
          </cell>
          <cell r="M277">
            <v>370.2110349572917</v>
          </cell>
          <cell r="N277">
            <v>369.74807124963621</v>
          </cell>
          <cell r="O277">
            <v>369.3369927389823</v>
          </cell>
          <cell r="P277">
            <v>367.81707498624331</v>
          </cell>
          <cell r="Q277">
            <v>368.1839846932873</v>
          </cell>
          <cell r="R277">
            <v>367.0894326162317</v>
          </cell>
          <cell r="S277">
            <v>365.26725940703392</v>
          </cell>
          <cell r="T277">
            <v>363.40152173072653</v>
          </cell>
          <cell r="U277">
            <v>361.74945480475606</v>
          </cell>
        </row>
        <row r="278">
          <cell r="L278">
            <v>760.91638189075218</v>
          </cell>
          <cell r="M278">
            <v>758.76514192336208</v>
          </cell>
          <cell r="N278">
            <v>756.33634987936819</v>
          </cell>
          <cell r="O278">
            <v>753.85204212437338</v>
          </cell>
          <cell r="P278">
            <v>753.18887056747008</v>
          </cell>
          <cell r="Q278">
            <v>751.80149666788475</v>
          </cell>
          <cell r="R278">
            <v>750.22088664724527</v>
          </cell>
          <cell r="S278">
            <v>748.96554203761843</v>
          </cell>
          <cell r="T278">
            <v>747.94777276254342</v>
          </cell>
          <cell r="U278">
            <v>747.06530658284953</v>
          </cell>
        </row>
        <row r="279">
          <cell r="L279">
            <v>190.73374418486682</v>
          </cell>
          <cell r="M279">
            <v>194.5301086291224</v>
          </cell>
          <cell r="N279">
            <v>198.50669310971892</v>
          </cell>
          <cell r="O279">
            <v>202.71404247017944</v>
          </cell>
          <cell r="P279">
            <v>206.4363385322296</v>
          </cell>
          <cell r="Q279">
            <v>211.38375053422533</v>
          </cell>
          <cell r="R279">
            <v>214.67205729591078</v>
          </cell>
          <cell r="S279">
            <v>217.25026870403468</v>
          </cell>
          <cell r="T279">
            <v>219.66113838589709</v>
          </cell>
          <cell r="U279">
            <v>222.09331437456109</v>
          </cell>
        </row>
        <row r="280">
          <cell r="L280">
            <v>146.81326051578446</v>
          </cell>
          <cell r="M280">
            <v>145.88251831796299</v>
          </cell>
          <cell r="N280">
            <v>144.65951297917366</v>
          </cell>
          <cell r="O280">
            <v>143.15554982771374</v>
          </cell>
          <cell r="P280">
            <v>141.85290625880083</v>
          </cell>
          <cell r="Q280">
            <v>139.9482144888336</v>
          </cell>
          <cell r="R280">
            <v>138.81748703259211</v>
          </cell>
          <cell r="S280">
            <v>137.87599705511261</v>
          </cell>
          <cell r="T280">
            <v>137.04094749270376</v>
          </cell>
          <cell r="U280">
            <v>136.31963946390243</v>
          </cell>
        </row>
        <row r="281">
          <cell r="L281">
            <v>57.158559844528263</v>
          </cell>
          <cell r="M281">
            <v>55.858334072752882</v>
          </cell>
          <cell r="N281">
            <v>54.679192569644108</v>
          </cell>
          <cell r="O281">
            <v>53.520343634000099</v>
          </cell>
          <cell r="P281">
            <v>52.278163218426776</v>
          </cell>
          <cell r="Q281">
            <v>51.103844065867577</v>
          </cell>
          <cell r="R281">
            <v>49.682114682417513</v>
          </cell>
          <cell r="S281">
            <v>48.412369004633099</v>
          </cell>
          <cell r="T281">
            <v>47.322921258737338</v>
          </cell>
          <cell r="U281">
            <v>46.321151803195377</v>
          </cell>
        </row>
        <row r="282">
          <cell r="L282">
            <v>186.29386176411685</v>
          </cell>
          <cell r="M282">
            <v>189.22320233465436</v>
          </cell>
          <cell r="N282">
            <v>192.17625747492943</v>
          </cell>
          <cell r="O282">
            <v>194.68458042274369</v>
          </cell>
          <cell r="P282">
            <v>196.61429009020233</v>
          </cell>
          <cell r="Q282">
            <v>198.20135867366753</v>
          </cell>
          <cell r="R282">
            <v>199.81132056198354</v>
          </cell>
          <cell r="S282">
            <v>201.53339442824702</v>
          </cell>
          <cell r="T282">
            <v>203.14623192317922</v>
          </cell>
          <cell r="U282">
            <v>204.6493637111991</v>
          </cell>
        </row>
        <row r="283">
          <cell r="L283">
            <v>587.56418780498552</v>
          </cell>
          <cell r="M283">
            <v>608.12752422410938</v>
          </cell>
          <cell r="N283">
            <v>628.33888574270725</v>
          </cell>
          <cell r="O283">
            <v>645.8407627339617</v>
          </cell>
          <cell r="P283">
            <v>663.01386236728661</v>
          </cell>
          <cell r="Q283">
            <v>675.43721721616612</v>
          </cell>
          <cell r="R283">
            <v>692.43844477954917</v>
          </cell>
          <cell r="S283">
            <v>711.7801201260429</v>
          </cell>
          <cell r="T283">
            <v>731.04224255888187</v>
          </cell>
          <cell r="U283">
            <v>750.33949153148433</v>
          </cell>
        </row>
        <row r="284">
          <cell r="L284">
            <v>735.65947299999425</v>
          </cell>
          <cell r="M284">
            <v>748.07078396897725</v>
          </cell>
          <cell r="N284">
            <v>760.88486246297384</v>
          </cell>
          <cell r="O284">
            <v>773.41602743984902</v>
          </cell>
          <cell r="P284">
            <v>784.86165654672573</v>
          </cell>
          <cell r="Q284">
            <v>797.0186926896406</v>
          </cell>
          <cell r="R284">
            <v>808.0687192488283</v>
          </cell>
          <cell r="S284">
            <v>819.01885846336927</v>
          </cell>
          <cell r="T284">
            <v>829.60074591848763</v>
          </cell>
          <cell r="U284">
            <v>839.9203984771915</v>
          </cell>
        </row>
        <row r="285">
          <cell r="L285">
            <v>396.90070024100811</v>
          </cell>
          <cell r="M285">
            <v>407.55383255603698</v>
          </cell>
          <cell r="N285">
            <v>418.77484920626932</v>
          </cell>
          <cell r="O285">
            <v>430.3519636675465</v>
          </cell>
          <cell r="P285">
            <v>440.4401883294484</v>
          </cell>
          <cell r="Q285">
            <v>453.14961849192059</v>
          </cell>
          <cell r="R285">
            <v>462.53774571302694</v>
          </cell>
          <cell r="S285">
            <v>470.24182065939772</v>
          </cell>
          <cell r="T285">
            <v>477.16204036476756</v>
          </cell>
          <cell r="U285">
            <v>483.8231270158517</v>
          </cell>
        </row>
        <row r="287">
          <cell r="L287">
            <v>5.0398435954747756</v>
          </cell>
          <cell r="M287">
            <v>5.1005799258214752</v>
          </cell>
          <cell r="N287">
            <v>5.1336178009537061</v>
          </cell>
          <cell r="O287">
            <v>5.1817538371834733</v>
          </cell>
          <cell r="P287">
            <v>5.2305781764210835</v>
          </cell>
          <cell r="Q287">
            <v>5.2800073061362784</v>
          </cell>
          <cell r="R287">
            <v>5.3299720473747918</v>
          </cell>
          <cell r="S287">
            <v>5.3804144513422427</v>
          </cell>
          <cell r="T287">
            <v>5.431285492948664</v>
          </cell>
          <cell r="U287">
            <v>5.4825433276726043</v>
          </cell>
        </row>
        <row r="288">
          <cell r="L288">
            <v>0.85549098696068582</v>
          </cell>
          <cell r="M288">
            <v>0.98726764509069864</v>
          </cell>
          <cell r="N288">
            <v>0.97133883839359481</v>
          </cell>
          <cell r="O288">
            <v>0.98537427920147735</v>
          </cell>
          <cell r="P288">
            <v>0.99529782932635158</v>
          </cell>
          <cell r="Q288">
            <v>1.0124171881464903</v>
          </cell>
          <cell r="R288">
            <v>1.0261956357866848</v>
          </cell>
          <cell r="S288">
            <v>1.0399098351349572</v>
          </cell>
          <cell r="T288">
            <v>1.0535437241183272</v>
          </cell>
          <cell r="U288">
            <v>1.0681051978163214</v>
          </cell>
        </row>
        <row r="289">
          <cell r="L289">
            <v>0.1088733902688626</v>
          </cell>
          <cell r="M289">
            <v>0.11088624280863139</v>
          </cell>
          <cell r="N289">
            <v>0.10954042266398704</v>
          </cell>
          <cell r="O289">
            <v>0.10819460251934269</v>
          </cell>
          <cell r="P289">
            <v>0.10684878237469836</v>
          </cell>
          <cell r="Q289">
            <v>0.105502962230054</v>
          </cell>
          <cell r="R289">
            <v>0.10415714208540967</v>
          </cell>
          <cell r="S289">
            <v>0.10281132194076534</v>
          </cell>
          <cell r="T289">
            <v>0.10146550179612099</v>
          </cell>
          <cell r="U289">
            <v>0.10011968165147665</v>
          </cell>
        </row>
        <row r="314">
          <cell r="M314">
            <v>78.087928600079252</v>
          </cell>
          <cell r="N314">
            <v>78.509623140112481</v>
          </cell>
          <cell r="O314">
            <v>79.353897232547524</v>
          </cell>
          <cell r="P314">
            <v>80.791748917261572</v>
          </cell>
          <cell r="Q314">
            <v>82.174824866082105</v>
          </cell>
          <cell r="R314">
            <v>83.864140299894274</v>
          </cell>
          <cell r="S314">
            <v>86.25621241184534</v>
          </cell>
          <cell r="T314">
            <v>89.190820911478198</v>
          </cell>
          <cell r="U314">
            <v>92.235907393170791</v>
          </cell>
        </row>
        <row r="315">
          <cell r="M315">
            <v>34.974105169408027</v>
          </cell>
          <cell r="N315">
            <v>34.859216428291475</v>
          </cell>
          <cell r="O315">
            <v>34.881002162512033</v>
          </cell>
          <cell r="P315">
            <v>34.683404863881883</v>
          </cell>
          <cell r="Q315">
            <v>34.373713035308818</v>
          </cell>
          <cell r="R315">
            <v>34.095176155765579</v>
          </cell>
          <cell r="S315">
            <v>33.990708338144067</v>
          </cell>
          <cell r="T315">
            <v>33.92288279777155</v>
          </cell>
          <cell r="U315">
            <v>33.780864956795817</v>
          </cell>
        </row>
        <row r="316">
          <cell r="M316">
            <v>264.05529367584131</v>
          </cell>
          <cell r="N316">
            <v>260.58037145557796</v>
          </cell>
          <cell r="O316">
            <v>256.7530735575782</v>
          </cell>
          <cell r="P316">
            <v>254.25574201206655</v>
          </cell>
          <cell r="Q316">
            <v>250.39068446301479</v>
          </cell>
          <cell r="R316">
            <v>247.42944489718136</v>
          </cell>
          <cell r="S316">
            <v>245.44432483076056</v>
          </cell>
          <cell r="T316">
            <v>244.06744140531299</v>
          </cell>
          <cell r="U316">
            <v>242.86536004335744</v>
          </cell>
        </row>
        <row r="317">
          <cell r="M317">
            <v>19.541560264786405</v>
          </cell>
          <cell r="N317">
            <v>19.136463980506392</v>
          </cell>
          <cell r="O317">
            <v>18.662470601308822</v>
          </cell>
          <cell r="P317">
            <v>18.251390194846032</v>
          </cell>
          <cell r="Q317">
            <v>17.803992719837137</v>
          </cell>
          <cell r="R317">
            <v>17.311658401816</v>
          </cell>
          <cell r="S317">
            <v>16.923333423395597</v>
          </cell>
          <cell r="T317">
            <v>16.57471449909491</v>
          </cell>
          <cell r="U317">
            <v>16.290775469554209</v>
          </cell>
        </row>
        <row r="318">
          <cell r="M318">
            <v>370.20945004084177</v>
          </cell>
          <cell r="N318">
            <v>369.7328720116152</v>
          </cell>
          <cell r="O318">
            <v>369.31421978330769</v>
          </cell>
          <cell r="P318">
            <v>367.79069152557781</v>
          </cell>
          <cell r="Q318">
            <v>368.15494315117417</v>
          </cell>
          <cell r="R318">
            <v>367.04070748952938</v>
          </cell>
          <cell r="S318">
            <v>365.21955059995736</v>
          </cell>
          <cell r="T318">
            <v>363.354451051149</v>
          </cell>
          <cell r="U318">
            <v>361.7029905369435</v>
          </cell>
        </row>
        <row r="319">
          <cell r="M319">
            <v>758.79551009616341</v>
          </cell>
          <cell r="N319">
            <v>756.33858335015771</v>
          </cell>
          <cell r="O319">
            <v>753.83813555698794</v>
          </cell>
          <cell r="P319">
            <v>753.16616363988192</v>
          </cell>
          <cell r="Q319">
            <v>751.77389079642376</v>
          </cell>
          <cell r="R319">
            <v>750.16971807954781</v>
          </cell>
          <cell r="S319">
            <v>748.91602694499602</v>
          </cell>
          <cell r="T319">
            <v>747.89955317826468</v>
          </cell>
          <cell r="U319">
            <v>747.01797405895138</v>
          </cell>
        </row>
        <row r="320">
          <cell r="M320">
            <v>194.52497789140384</v>
          </cell>
          <cell r="N320">
            <v>198.49793658736007</v>
          </cell>
          <cell r="O320">
            <v>202.7025794295345</v>
          </cell>
          <cell r="P320">
            <v>206.42239473490383</v>
          </cell>
          <cell r="Q320">
            <v>211.36777989900474</v>
          </cell>
          <cell r="R320">
            <v>214.6469607731359</v>
          </cell>
          <cell r="S320">
            <v>217.22478491323696</v>
          </cell>
          <cell r="T320">
            <v>219.63545868629009</v>
          </cell>
          <cell r="U320">
            <v>222.06752604741513</v>
          </cell>
        </row>
        <row r="321">
          <cell r="M321">
            <v>145.89098612394622</v>
          </cell>
          <cell r="N321">
            <v>144.66155648982635</v>
          </cell>
          <cell r="O321">
            <v>143.15417487509785</v>
          </cell>
          <cell r="P321">
            <v>141.84988827937192</v>
          </cell>
          <cell r="Q321">
            <v>139.94427150915951</v>
          </cell>
          <cell r="R321">
            <v>138.80548806393074</v>
          </cell>
          <cell r="S321">
            <v>137.86475812928961</v>
          </cell>
          <cell r="T321">
            <v>137.03028809042988</v>
          </cell>
          <cell r="U321">
            <v>136.30937623733791</v>
          </cell>
        </row>
        <row r="322">
          <cell r="M322">
            <v>55.863506922418814</v>
          </cell>
          <cell r="N322">
            <v>54.680921171676744</v>
          </cell>
          <cell r="O322">
            <v>53.520985727046195</v>
          </cell>
          <cell r="P322">
            <v>52.277928720944111</v>
          </cell>
          <cell r="Q322">
            <v>51.103060689833974</v>
          </cell>
          <cell r="R322">
            <v>49.680601885226373</v>
          </cell>
          <cell r="S322">
            <v>48.410780605220552</v>
          </cell>
          <cell r="T322">
            <v>47.321315352012306</v>
          </cell>
          <cell r="U322">
            <v>46.319447391905641</v>
          </cell>
        </row>
        <row r="323">
          <cell r="M323">
            <v>189.23037464833229</v>
          </cell>
          <cell r="N323">
            <v>192.1746478935606</v>
          </cell>
          <cell r="O323">
            <v>194.67783798716297</v>
          </cell>
          <cell r="P323">
            <v>196.60471250487882</v>
          </cell>
          <cell r="Q323">
            <v>198.19009948371703</v>
          </cell>
          <cell r="R323">
            <v>199.79485859254368</v>
          </cell>
          <cell r="S323">
            <v>201.51706629822834</v>
          </cell>
          <cell r="T323">
            <v>203.12989403215158</v>
          </cell>
          <cell r="U323">
            <v>204.63272820886013</v>
          </cell>
        </row>
        <row r="324">
          <cell r="M324">
            <v>608.1783485263544</v>
          </cell>
          <cell r="N324">
            <v>628.35211088965241</v>
          </cell>
          <cell r="O324">
            <v>645.83324362586916</v>
          </cell>
          <cell r="P324">
            <v>662.99703707511901</v>
          </cell>
          <cell r="Q324">
            <v>675.41477268042479</v>
          </cell>
          <cell r="R324">
            <v>692.40375062356463</v>
          </cell>
          <cell r="S324">
            <v>711.74598015685888</v>
          </cell>
          <cell r="T324">
            <v>731.00838866543199</v>
          </cell>
          <cell r="U324">
            <v>750.30481710103345</v>
          </cell>
        </row>
        <row r="325">
          <cell r="M325">
            <v>748.06063186824974</v>
          </cell>
          <cell r="N325">
            <v>760.86855197678199</v>
          </cell>
          <cell r="O325">
            <v>773.39495920854142</v>
          </cell>
          <cell r="P325">
            <v>784.83687359305623</v>
          </cell>
          <cell r="Q325">
            <v>796.99077893383094</v>
          </cell>
          <cell r="R325">
            <v>807.90102480388987</v>
          </cell>
          <cell r="S325">
            <v>818.85147687428673</v>
          </cell>
          <cell r="T325">
            <v>829.43357639508088</v>
          </cell>
          <cell r="U325">
            <v>839.75330600923087</v>
          </cell>
        </row>
        <row r="326">
          <cell r="M326">
            <v>407.55383255603698</v>
          </cell>
          <cell r="N326">
            <v>418.77484920626932</v>
          </cell>
          <cell r="O326">
            <v>430.3519636675465</v>
          </cell>
          <cell r="P326">
            <v>440.4401883294484</v>
          </cell>
          <cell r="Q326">
            <v>453.14961849192059</v>
          </cell>
          <cell r="R326">
            <v>462.53774571302694</v>
          </cell>
          <cell r="S326">
            <v>470.24182065939772</v>
          </cell>
          <cell r="T326">
            <v>477.16204036476756</v>
          </cell>
          <cell r="U326">
            <v>483.8231270158517</v>
          </cell>
        </row>
        <row r="328">
          <cell r="M328">
            <v>5.1170433668674695</v>
          </cell>
          <cell r="N328">
            <v>5.1498169388347801</v>
          </cell>
          <cell r="O328">
            <v>5.1978771324203681</v>
          </cell>
          <cell r="P328">
            <v>5.2465585097523544</v>
          </cell>
          <cell r="Q328">
            <v>5.2961844111672267</v>
          </cell>
          <cell r="R328">
            <v>5.347274003255321</v>
          </cell>
          <cell r="S328">
            <v>5.397668999586112</v>
          </cell>
          <cell r="T328">
            <v>5.4485280826957885</v>
          </cell>
          <cell r="U328">
            <v>5.4998093548881481</v>
          </cell>
        </row>
        <row r="329">
          <cell r="M329">
            <v>1.1272068939816471</v>
          </cell>
          <cell r="N329">
            <v>1.1090315103827235</v>
          </cell>
          <cell r="O329">
            <v>1.1224222887150832</v>
          </cell>
          <cell r="P329">
            <v>1.1311306626421542</v>
          </cell>
          <cell r="Q329">
            <v>1.1499225809095506</v>
          </cell>
          <cell r="R329">
            <v>1.130007371069861</v>
          </cell>
          <cell r="S329">
            <v>1.1434371245981729</v>
          </cell>
          <cell r="T329">
            <v>1.1569992626010728</v>
          </cell>
          <cell r="U329">
            <v>1.1717013611095854</v>
          </cell>
        </row>
        <row r="330">
          <cell r="M330">
            <v>0.11911796333162836</v>
          </cell>
          <cell r="N330">
            <v>0.11763999160452403</v>
          </cell>
          <cell r="O330">
            <v>0.1162562501377901</v>
          </cell>
          <cell r="P330">
            <v>0.11483894904033382</v>
          </cell>
          <cell r="Q330">
            <v>0.11359151474552813</v>
          </cell>
          <cell r="R330">
            <v>0.12145909796593904</v>
          </cell>
          <cell r="S330">
            <v>0.12006587018463463</v>
          </cell>
          <cell r="T330">
            <v>0.11870809154324526</v>
          </cell>
          <cell r="U330">
            <v>0.11738570886702065</v>
          </cell>
        </row>
      </sheetData>
      <sheetData sheetId="7">
        <row r="985">
          <cell r="L985">
            <v>-15.394999999996799</v>
          </cell>
          <cell r="M985">
            <v>-15.718400000001566</v>
          </cell>
          <cell r="N985">
            <v>-16.240540000002511</v>
          </cell>
          <cell r="O985">
            <v>-16.859139999996842</v>
          </cell>
          <cell r="P985">
            <v>-17.646440000004077</v>
          </cell>
          <cell r="Q985">
            <v>-18.506339999999909</v>
          </cell>
          <cell r="R985">
            <v>-19.077540000002045</v>
          </cell>
          <cell r="S985">
            <v>-19.617839999998978</v>
          </cell>
          <cell r="T985">
            <v>-20.139739999995072</v>
          </cell>
        </row>
        <row r="988">
          <cell r="L988">
            <v>7.3399999985461761E-2</v>
          </cell>
          <cell r="M988">
            <v>2.7499999986744683E-2</v>
          </cell>
          <cell r="N988">
            <v>0.33315999997306278</v>
          </cell>
          <cell r="O988">
            <v>0.85685999998734985</v>
          </cell>
          <cell r="P988">
            <v>1.4260599999912529</v>
          </cell>
          <cell r="Q988">
            <v>-0.24974000000148067</v>
          </cell>
          <cell r="R988">
            <v>0.29665999999909332</v>
          </cell>
          <cell r="S988">
            <v>0.97586000001263074</v>
          </cell>
          <cell r="T988">
            <v>1.6771600000110425</v>
          </cell>
        </row>
      </sheetData>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1.Disclaimer"/>
      <sheetName val="2.Summary"/>
      <sheetName val="3.Macro"/>
      <sheetName val="4.IGVA"/>
      <sheetName val="5.Employ"/>
      <sheetName val="6.TaxRev"/>
      <sheetName val="7.Figures"/>
      <sheetName val="base"/>
      <sheetName val="policy"/>
      <sheetName val="dev"/>
      <sheetName val="definition"/>
    </sheetNames>
    <sheetDataSet>
      <sheetData sheetId="0"/>
      <sheetData sheetId="1"/>
      <sheetData sheetId="2"/>
      <sheetData sheetId="3"/>
      <sheetData sheetId="4">
        <row r="14">
          <cell r="P14">
            <v>483126.72604559996</v>
          </cell>
          <cell r="Q14">
            <v>494345.26681308704</v>
          </cell>
          <cell r="R14">
            <v>505701.86062758404</v>
          </cell>
          <cell r="S14">
            <v>517464.789326898</v>
          </cell>
          <cell r="T14">
            <v>530140.86553864426</v>
          </cell>
          <cell r="U14">
            <v>542927.28006048419</v>
          </cell>
          <cell r="V14">
            <v>556029.79840291187</v>
          </cell>
          <cell r="W14">
            <v>569865.82149445056</v>
          </cell>
          <cell r="X14">
            <v>584196.69320022874</v>
          </cell>
          <cell r="Y14">
            <v>598850.39095411671</v>
          </cell>
        </row>
        <row r="19">
          <cell r="Q19">
            <v>494323.96092446841</v>
          </cell>
          <cell r="R19">
            <v>505688.518218518</v>
          </cell>
          <cell r="S19">
            <v>517456.80027679575</v>
          </cell>
          <cell r="T19">
            <v>530136.40647373826</v>
          </cell>
          <cell r="U19">
            <v>542925.68221171398</v>
          </cell>
          <cell r="V19">
            <v>556029.89935528056</v>
          </cell>
          <cell r="W19">
            <v>569867.14822465624</v>
          </cell>
          <cell r="X19">
            <v>584198.90809550264</v>
          </cell>
          <cell r="Y19">
            <v>598853.36244540592</v>
          </cell>
        </row>
      </sheetData>
      <sheetData sheetId="5">
        <row r="313">
          <cell r="L313">
            <v>6801.1851561408848</v>
          </cell>
          <cell r="M313">
            <v>6893.6118300884636</v>
          </cell>
          <cell r="N313">
            <v>6991.9906692935974</v>
          </cell>
          <cell r="O313">
            <v>7110.524016751132</v>
          </cell>
          <cell r="P313">
            <v>7255.1334606669943</v>
          </cell>
          <cell r="Q313">
            <v>7406.8720148673156</v>
          </cell>
          <cell r="R313">
            <v>7572.471593963819</v>
          </cell>
          <cell r="S313">
            <v>7762.441124604451</v>
          </cell>
          <cell r="T313">
            <v>7972.3074548564809</v>
          </cell>
          <cell r="U313">
            <v>8191.3182061275365</v>
          </cell>
        </row>
        <row r="314">
          <cell r="L314">
            <v>15669.261823813296</v>
          </cell>
          <cell r="M314">
            <v>16575.196602717609</v>
          </cell>
          <cell r="N314">
            <v>17463.728204317267</v>
          </cell>
          <cell r="O314">
            <v>18308.967444255046</v>
          </cell>
          <cell r="P314">
            <v>19107.385064004342</v>
          </cell>
          <cell r="Q314">
            <v>19838.472358112784</v>
          </cell>
          <cell r="R314">
            <v>20539.073435598537</v>
          </cell>
          <cell r="S314">
            <v>21215.327883232272</v>
          </cell>
          <cell r="T314">
            <v>21860.997236442337</v>
          </cell>
          <cell r="U314">
            <v>22484.873222179613</v>
          </cell>
        </row>
        <row r="315">
          <cell r="L315">
            <v>34419.199186824735</v>
          </cell>
          <cell r="M315">
            <v>34574.3199093492</v>
          </cell>
          <cell r="N315">
            <v>34667.139606830031</v>
          </cell>
          <cell r="O315">
            <v>34759.802382642803</v>
          </cell>
          <cell r="P315">
            <v>35043.31115663363</v>
          </cell>
          <cell r="Q315">
            <v>35191.290958623133</v>
          </cell>
          <cell r="R315">
            <v>35392.373811757338</v>
          </cell>
          <cell r="S315">
            <v>35685.63796236553</v>
          </cell>
          <cell r="T315">
            <v>36039.836598282978</v>
          </cell>
          <cell r="U315">
            <v>36423.204379114701</v>
          </cell>
        </row>
        <row r="316">
          <cell r="L316">
            <v>12264.410284140358</v>
          </cell>
          <cell r="M316">
            <v>12439.715232960445</v>
          </cell>
          <cell r="N316">
            <v>12602.34517747927</v>
          </cell>
          <cell r="O316">
            <v>12763.99430119611</v>
          </cell>
          <cell r="P316">
            <v>12954.127170311658</v>
          </cell>
          <cell r="Q316">
            <v>13150.151592990234</v>
          </cell>
          <cell r="R316">
            <v>13356.360830326441</v>
          </cell>
          <cell r="S316">
            <v>13594.619816832115</v>
          </cell>
          <cell r="T316">
            <v>13837.055731365786</v>
          </cell>
          <cell r="U316">
            <v>14088.20999704008</v>
          </cell>
        </row>
        <row r="317">
          <cell r="L317">
            <v>25526.286387900003</v>
          </cell>
          <cell r="M317">
            <v>26207.42215598881</v>
          </cell>
          <cell r="N317">
            <v>26799.935280544702</v>
          </cell>
          <cell r="O317">
            <v>27352.01930731098</v>
          </cell>
          <cell r="P317">
            <v>27851.272980525398</v>
          </cell>
          <cell r="Q317">
            <v>28399.541999910831</v>
          </cell>
          <cell r="R317">
            <v>28873.561595385545</v>
          </cell>
          <cell r="S317">
            <v>29316.909358970366</v>
          </cell>
          <cell r="T317">
            <v>29756.425532389116</v>
          </cell>
          <cell r="U317">
            <v>30194.844803613123</v>
          </cell>
        </row>
        <row r="318">
          <cell r="L318">
            <v>41551.416388000005</v>
          </cell>
          <cell r="M318">
            <v>42055.10265745534</v>
          </cell>
          <cell r="N318">
            <v>42521.455896334126</v>
          </cell>
          <cell r="O318">
            <v>43035.047049232409</v>
          </cell>
          <cell r="P318">
            <v>43706.432514742773</v>
          </cell>
          <cell r="Q318">
            <v>44380.765950082983</v>
          </cell>
          <cell r="R318">
            <v>45058.557883825844</v>
          </cell>
          <cell r="S318">
            <v>45810.139135183854</v>
          </cell>
          <cell r="T318">
            <v>46625.05570025964</v>
          </cell>
          <cell r="U318">
            <v>47472.773812979474</v>
          </cell>
        </row>
        <row r="319">
          <cell r="L319">
            <v>13119.405382999999</v>
          </cell>
          <cell r="M319">
            <v>13331.290339638141</v>
          </cell>
          <cell r="N319">
            <v>13570.704316589634</v>
          </cell>
          <cell r="O319">
            <v>13857.698928547303</v>
          </cell>
          <cell r="P319">
            <v>14163.31800648738</v>
          </cell>
          <cell r="Q319">
            <v>14549.391643030816</v>
          </cell>
          <cell r="R319">
            <v>14868.446707310002</v>
          </cell>
          <cell r="S319">
            <v>15171.608388293369</v>
          </cell>
          <cell r="T319">
            <v>15482.544433568086</v>
          </cell>
          <cell r="U319">
            <v>15799.888598568486</v>
          </cell>
        </row>
        <row r="320">
          <cell r="L320">
            <v>22910.695487353783</v>
          </cell>
          <cell r="M320">
            <v>23299.611056665315</v>
          </cell>
          <cell r="N320">
            <v>23672.102367484255</v>
          </cell>
          <cell r="O320">
            <v>24062.873758371752</v>
          </cell>
          <cell r="P320">
            <v>24524.196578337276</v>
          </cell>
          <cell r="Q320">
            <v>24955.585462151863</v>
          </cell>
          <cell r="R320">
            <v>25466.38107804305</v>
          </cell>
          <cell r="S320">
            <v>26029.249329694194</v>
          </cell>
          <cell r="T320">
            <v>26624.748823650254</v>
          </cell>
          <cell r="U320">
            <v>27245.764565824666</v>
          </cell>
        </row>
        <row r="321">
          <cell r="L321">
            <v>19153.615622600002</v>
          </cell>
          <cell r="M321">
            <v>19941.377018095667</v>
          </cell>
          <cell r="N321">
            <v>20765.98286985945</v>
          </cell>
          <cell r="O321">
            <v>21631.452967721441</v>
          </cell>
          <cell r="P321">
            <v>22531.144033264318</v>
          </cell>
          <cell r="Q321">
            <v>23467.290536702418</v>
          </cell>
          <cell r="R321">
            <v>24400.401636480885</v>
          </cell>
          <cell r="S321">
            <v>25346.629691622304</v>
          </cell>
          <cell r="T321">
            <v>26301.102656593786</v>
          </cell>
          <cell r="U321">
            <v>27267.084294744633</v>
          </cell>
        </row>
        <row r="322">
          <cell r="L322">
            <v>56049.221151999998</v>
          </cell>
          <cell r="M322">
            <v>57773.74358840473</v>
          </cell>
          <cell r="N322">
            <v>59574.86893164504</v>
          </cell>
          <cell r="O322">
            <v>61439.324029729803</v>
          </cell>
          <cell r="P322">
            <v>63358.620929162127</v>
          </cell>
          <cell r="Q322">
            <v>65295.576337173829</v>
          </cell>
          <cell r="R322">
            <v>67284.83218851636</v>
          </cell>
          <cell r="S322">
            <v>69376.542680693645</v>
          </cell>
          <cell r="T322">
            <v>71521.845759391668</v>
          </cell>
          <cell r="U322">
            <v>73698.563069786731</v>
          </cell>
        </row>
        <row r="323">
          <cell r="L323">
            <v>67727.481787600002</v>
          </cell>
          <cell r="M323">
            <v>70043.003116939901</v>
          </cell>
          <cell r="N323">
            <v>72385.65439488877</v>
          </cell>
          <cell r="O323">
            <v>74666.352639301171</v>
          </cell>
          <cell r="P323">
            <v>77094.48749386071</v>
          </cell>
          <cell r="Q323">
            <v>79219.057380216516</v>
          </cell>
          <cell r="R323">
            <v>81721.143776136232</v>
          </cell>
          <cell r="S323">
            <v>84533.094784443674</v>
          </cell>
          <cell r="T323">
            <v>87469.38564501924</v>
          </cell>
          <cell r="U323">
            <v>90487.061955895275</v>
          </cell>
        </row>
        <row r="324">
          <cell r="L324">
            <v>77176.690303199997</v>
          </cell>
          <cell r="M324">
            <v>78755.655927782194</v>
          </cell>
          <cell r="N324">
            <v>80518.365018757802</v>
          </cell>
          <cell r="O324">
            <v>82535.350062477693</v>
          </cell>
          <cell r="P324">
            <v>84773.221797606719</v>
          </cell>
          <cell r="Q324">
            <v>87245.26828648019</v>
          </cell>
          <cell r="R324">
            <v>89713.91677528029</v>
          </cell>
          <cell r="S324">
            <v>92378.41113211443</v>
          </cell>
          <cell r="T324">
            <v>95194.197481832409</v>
          </cell>
          <cell r="U324">
            <v>98101.95184101371</v>
          </cell>
        </row>
        <row r="325">
          <cell r="L325">
            <v>12470.944018556109</v>
          </cell>
          <cell r="M325">
            <v>12741.362721560077</v>
          </cell>
          <cell r="N325">
            <v>13043.772595074945</v>
          </cell>
          <cell r="O325">
            <v>13393.228306669598</v>
          </cell>
          <cell r="P325">
            <v>13749.277905942594</v>
          </cell>
          <cell r="Q325">
            <v>14193.611945101151</v>
          </cell>
          <cell r="R325">
            <v>14564.967930588</v>
          </cell>
          <cell r="S325">
            <v>14916.507996560671</v>
          </cell>
          <cell r="T325">
            <v>15268.865748455428</v>
          </cell>
          <cell r="U325">
            <v>15622.964487141282</v>
          </cell>
        </row>
        <row r="326">
          <cell r="L326">
            <v>44804.728590999999</v>
          </cell>
          <cell r="M326">
            <v>46146.088075084495</v>
          </cell>
          <cell r="N326">
            <v>47539.252317897714</v>
          </cell>
          <cell r="O326">
            <v>48980.62343247544</v>
          </cell>
          <cell r="P326">
            <v>50477.912110182784</v>
          </cell>
          <cell r="Q326">
            <v>52019.315729961745</v>
          </cell>
          <cell r="R326">
            <v>53641.522485205889</v>
          </cell>
          <cell r="S326">
            <v>55289.014565294019</v>
          </cell>
          <cell r="T326">
            <v>56937.036338047561</v>
          </cell>
          <cell r="U326">
            <v>58579.891890841958</v>
          </cell>
        </row>
        <row r="327">
          <cell r="L327">
            <v>604.77959442416727</v>
          </cell>
          <cell r="M327">
            <v>612.06793433750715</v>
          </cell>
          <cell r="N327">
            <v>616.03246862207254</v>
          </cell>
          <cell r="O327">
            <v>621.80877733418504</v>
          </cell>
          <cell r="P327">
            <v>627.66768218366542</v>
          </cell>
          <cell r="Q327">
            <v>633.59916169400901</v>
          </cell>
          <cell r="R327">
            <v>639.59491441317448</v>
          </cell>
          <cell r="S327">
            <v>645.64798650465889</v>
          </cell>
          <cell r="T327">
            <v>651.7524949735905</v>
          </cell>
          <cell r="U327">
            <v>657.90341849098695</v>
          </cell>
        </row>
        <row r="328">
          <cell r="L328">
            <v>102.65891843528229</v>
          </cell>
          <cell r="M328">
            <v>118.47211741088383</v>
          </cell>
          <cell r="N328">
            <v>116.56066060723137</v>
          </cell>
          <cell r="O328">
            <v>118.24491350417728</v>
          </cell>
          <cell r="P328">
            <v>119.43573951916218</v>
          </cell>
          <cell r="Q328">
            <v>121.49006257757883</v>
          </cell>
          <cell r="R328">
            <v>123.14347629440218</v>
          </cell>
          <cell r="S328">
            <v>124.78918021619485</v>
          </cell>
          <cell r="T328">
            <v>126.42524689419926</v>
          </cell>
          <cell r="U328">
            <v>128.17262373795856</v>
          </cell>
        </row>
        <row r="329">
          <cell r="L329">
            <v>12.835960627557233</v>
          </cell>
          <cell r="M329">
            <v>13.073272020963341</v>
          </cell>
          <cell r="N329">
            <v>12.914602447564663</v>
          </cell>
          <cell r="O329">
            <v>12.755932874165985</v>
          </cell>
          <cell r="P329">
            <v>12.59726330076731</v>
          </cell>
          <cell r="Q329">
            <v>12.438593727368628</v>
          </cell>
          <cell r="R329">
            <v>12.279924153969953</v>
          </cell>
          <cell r="S329">
            <v>12.121254580571275</v>
          </cell>
          <cell r="T329">
            <v>11.962585007172597</v>
          </cell>
          <cell r="U329">
            <v>11.80391543377392</v>
          </cell>
        </row>
        <row r="377">
          <cell r="M377">
            <v>6893.4808459742571</v>
          </cell>
          <cell r="N377">
            <v>6991.9294233040391</v>
          </cell>
          <cell r="O377">
            <v>7110.4987345080408</v>
          </cell>
          <cell r="P377">
            <v>7255.1329335321952</v>
          </cell>
          <cell r="Q377">
            <v>7406.8826264061336</v>
          </cell>
          <cell r="R377">
            <v>7572.4895247662625</v>
          </cell>
          <cell r="S377">
            <v>7762.4601743238245</v>
          </cell>
          <cell r="T377">
            <v>7972.3318013883263</v>
          </cell>
          <cell r="U377">
            <v>8191.3474951052867</v>
          </cell>
        </row>
        <row r="378">
          <cell r="M378">
            <v>16575.076710739191</v>
          </cell>
          <cell r="N378">
            <v>17463.715971415637</v>
          </cell>
          <cell r="O378">
            <v>18309.06271147704</v>
          </cell>
          <cell r="P378">
            <v>19107.574050221792</v>
          </cell>
          <cell r="Q378">
            <v>19838.729286607238</v>
          </cell>
          <cell r="R378">
            <v>20539.379048943181</v>
          </cell>
          <cell r="S378">
            <v>21215.668041081062</v>
          </cell>
          <cell r="T378">
            <v>21861.371376547169</v>
          </cell>
          <cell r="U378">
            <v>22485.281315950921</v>
          </cell>
        </row>
        <row r="379">
          <cell r="M379">
            <v>34572.571798917066</v>
          </cell>
          <cell r="N379">
            <v>34666.13852016953</v>
          </cell>
          <cell r="O379">
            <v>34759.244091446359</v>
          </cell>
          <cell r="P379">
            <v>35043.059593910832</v>
          </cell>
          <cell r="Q379">
            <v>35191.198212512543</v>
          </cell>
          <cell r="R379">
            <v>35392.366526132086</v>
          </cell>
          <cell r="S379">
            <v>35685.570746684141</v>
          </cell>
          <cell r="T379">
            <v>36039.774051560998</v>
          </cell>
          <cell r="U379">
            <v>36423.150073016986</v>
          </cell>
        </row>
        <row r="380">
          <cell r="M380">
            <v>12439.519263789394</v>
          </cell>
          <cell r="N380">
            <v>12602.319175066019</v>
          </cell>
          <cell r="O380">
            <v>12764.066831990503</v>
          </cell>
          <cell r="P380">
            <v>12954.274366432612</v>
          </cell>
          <cell r="Q380">
            <v>13150.345176878196</v>
          </cell>
          <cell r="R380">
            <v>13356.586078459626</v>
          </cell>
          <cell r="S380">
            <v>13594.878114757732</v>
          </cell>
          <cell r="T380">
            <v>13837.338817063444</v>
          </cell>
          <cell r="U380">
            <v>14088.510452102051</v>
          </cell>
        </row>
        <row r="381">
          <cell r="M381">
            <v>26207.38386655923</v>
          </cell>
          <cell r="N381">
            <v>26800.517240442357</v>
          </cell>
          <cell r="O381">
            <v>27353.031343767871</v>
          </cell>
          <cell r="P381">
            <v>27852.568813986563</v>
          </cell>
          <cell r="Q381">
            <v>28401.030458044061</v>
          </cell>
          <cell r="R381">
            <v>28875.145900098465</v>
          </cell>
          <cell r="S381">
            <v>29318.512215336115</v>
          </cell>
          <cell r="T381">
            <v>29758.028963807443</v>
          </cell>
          <cell r="U381">
            <v>30196.439125516736</v>
          </cell>
        </row>
        <row r="382">
          <cell r="M382">
            <v>42053.752236422733</v>
          </cell>
          <cell r="N382">
            <v>42521.028299022524</v>
          </cell>
          <cell r="O382">
            <v>43035.133043774687</v>
          </cell>
          <cell r="P382">
            <v>43706.834007348531</v>
          </cell>
          <cell r="Q382">
            <v>44381.392171367748</v>
          </cell>
          <cell r="R382">
            <v>45059.264679114778</v>
          </cell>
          <cell r="S382">
            <v>45810.889261374155</v>
          </cell>
          <cell r="T382">
            <v>46625.823751533659</v>
          </cell>
          <cell r="U382">
            <v>47473.560491236916</v>
          </cell>
        </row>
        <row r="383">
          <cell r="M383">
            <v>13331.66817851317</v>
          </cell>
          <cell r="N383">
            <v>13571.296915021036</v>
          </cell>
          <cell r="O383">
            <v>13858.393629869232</v>
          </cell>
          <cell r="P383">
            <v>14164.061288966441</v>
          </cell>
          <cell r="Q383">
            <v>14550.149520799474</v>
          </cell>
          <cell r="R383">
            <v>14869.228479730798</v>
          </cell>
          <cell r="S383">
            <v>15172.409074586814</v>
          </cell>
          <cell r="T383">
            <v>15483.372150293195</v>
          </cell>
          <cell r="U383">
            <v>15800.756505978763</v>
          </cell>
        </row>
        <row r="384">
          <cell r="M384">
            <v>23298.769030175918</v>
          </cell>
          <cell r="N384">
            <v>23671.751715304374</v>
          </cell>
          <cell r="O384">
            <v>24062.834152750682</v>
          </cell>
          <cell r="P384">
            <v>24524.361450098429</v>
          </cell>
          <cell r="Q384">
            <v>24955.874544160422</v>
          </cell>
          <cell r="R384">
            <v>25466.746172591935</v>
          </cell>
          <cell r="S384">
            <v>26029.661512334689</v>
          </cell>
          <cell r="T384">
            <v>26625.192621465209</v>
          </cell>
          <cell r="U384">
            <v>27246.2353921789</v>
          </cell>
        </row>
        <row r="385">
          <cell r="M385">
            <v>19940.616619555454</v>
          </cell>
          <cell r="N385">
            <v>20765.195015822326</v>
          </cell>
          <cell r="O385">
            <v>21630.694573640303</v>
          </cell>
          <cell r="P385">
            <v>22530.431966708704</v>
          </cell>
          <cell r="Q385">
            <v>23466.636753178151</v>
          </cell>
          <cell r="R385">
            <v>24399.803990314009</v>
          </cell>
          <cell r="S385">
            <v>25346.096708509558</v>
          </cell>
          <cell r="T385">
            <v>26300.607899064988</v>
          </cell>
          <cell r="U385">
            <v>27266.608186711324</v>
          </cell>
        </row>
        <row r="386">
          <cell r="M386">
            <v>57771.748236131723</v>
          </cell>
          <cell r="N386">
            <v>59573.63173209221</v>
          </cell>
          <cell r="O386">
            <v>61438.637889733916</v>
          </cell>
          <cell r="P386">
            <v>63358.226691960765</v>
          </cell>
          <cell r="Q386">
            <v>65295.531189520851</v>
          </cell>
          <cell r="R386">
            <v>67285.066436206194</v>
          </cell>
          <cell r="S386">
            <v>69377.127364373941</v>
          </cell>
          <cell r="T386">
            <v>71522.642778968162</v>
          </cell>
          <cell r="U386">
            <v>73699.527391381678</v>
          </cell>
        </row>
        <row r="387">
          <cell r="M387">
            <v>70037.225962743425</v>
          </cell>
          <cell r="N387">
            <v>72381.743113014061</v>
          </cell>
          <cell r="O387">
            <v>74663.787471706848</v>
          </cell>
          <cell r="P387">
            <v>77092.951397962592</v>
          </cell>
          <cell r="Q387">
            <v>79218.33468434817</v>
          </cell>
          <cell r="R387">
            <v>81720.865642527133</v>
          </cell>
          <cell r="S387">
            <v>84533.321921960975</v>
          </cell>
          <cell r="T387">
            <v>87469.840458886043</v>
          </cell>
          <cell r="U387">
            <v>90487.654918526168</v>
          </cell>
        </row>
        <row r="388">
          <cell r="M388">
            <v>78756.072681909849</v>
          </cell>
          <cell r="N388">
            <v>80519.279388326977</v>
          </cell>
          <cell r="O388">
            <v>82536.625517977998</v>
          </cell>
          <cell r="P388">
            <v>84774.639133548175</v>
          </cell>
          <cell r="Q388">
            <v>87246.777817713315</v>
          </cell>
          <cell r="R388">
            <v>89715.530092198896</v>
          </cell>
          <cell r="S388">
            <v>92380.117222149245</v>
          </cell>
          <cell r="T388">
            <v>95196.011003267922</v>
          </cell>
          <cell r="U388">
            <v>98103.887394575955</v>
          </cell>
        </row>
        <row r="389">
          <cell r="M389">
            <v>12741.362721560077</v>
          </cell>
          <cell r="N389">
            <v>13043.772595074945</v>
          </cell>
          <cell r="O389">
            <v>13393.228306669598</v>
          </cell>
          <cell r="P389">
            <v>13749.277905942594</v>
          </cell>
          <cell r="Q389">
            <v>14193.611945101151</v>
          </cell>
          <cell r="R389">
            <v>14564.967930588</v>
          </cell>
          <cell r="S389">
            <v>14916.507996560671</v>
          </cell>
          <cell r="T389">
            <v>15268.865748455428</v>
          </cell>
          <cell r="U389">
            <v>15622.964487141282</v>
          </cell>
        </row>
        <row r="390">
          <cell r="M390">
            <v>46146.092555557356</v>
          </cell>
          <cell r="N390">
            <v>47539.663019251886</v>
          </cell>
          <cell r="O390">
            <v>48981.426903434542</v>
          </cell>
          <cell r="P390">
            <v>50479.053623577813</v>
          </cell>
          <cell r="Q390">
            <v>52020.7747835384</v>
          </cell>
          <cell r="R390">
            <v>53643.302749036964</v>
          </cell>
          <cell r="S390">
            <v>55291.112358551603</v>
          </cell>
          <cell r="T390">
            <v>56939.401238183629</v>
          </cell>
          <cell r="U390">
            <v>58582.518621534269</v>
          </cell>
        </row>
        <row r="391">
          <cell r="M391">
            <v>612.12478087526961</v>
          </cell>
          <cell r="N391">
            <v>616.14632595998216</v>
          </cell>
          <cell r="O391">
            <v>621.98115365391163</v>
          </cell>
          <cell r="P391">
            <v>627.9006896167956</v>
          </cell>
          <cell r="Q391">
            <v>633.89552474496134</v>
          </cell>
          <cell r="R391">
            <v>639.95654975353727</v>
          </cell>
          <cell r="S391">
            <v>646.07680948161919</v>
          </cell>
          <cell r="T391">
            <v>652.25010988213467</v>
          </cell>
          <cell r="U391">
            <v>658.47127734829439</v>
          </cell>
        </row>
        <row r="392">
          <cell r="M392">
            <v>114.49088035486098</v>
          </cell>
          <cell r="N392">
            <v>112.4914424432708</v>
          </cell>
          <cell r="O392">
            <v>114.01161541862831</v>
          </cell>
          <cell r="P392">
            <v>114.98068354678649</v>
          </cell>
          <cell r="Q392">
            <v>116.73603529861255</v>
          </cell>
          <cell r="R392">
            <v>118.17209603769929</v>
          </cell>
          <cell r="S392">
            <v>119.60545467895138</v>
          </cell>
          <cell r="T392">
            <v>121.05190136670647</v>
          </cell>
          <cell r="U392">
            <v>122.61998591262638</v>
          </cell>
        </row>
        <row r="393">
          <cell r="M393">
            <v>13.074486216659482</v>
          </cell>
          <cell r="N393">
            <v>12.916989370867798</v>
          </cell>
          <cell r="O393">
            <v>12.759469042910588</v>
          </cell>
          <cell r="P393">
            <v>12.601939749897149</v>
          </cell>
          <cell r="Q393">
            <v>12.444411821535203</v>
          </cell>
          <cell r="R393">
            <v>12.286867383897169</v>
          </cell>
          <cell r="S393">
            <v>12.129305209679361</v>
          </cell>
          <cell r="T393">
            <v>11.971718475306897</v>
          </cell>
          <cell r="U393">
            <v>11.814103795380774</v>
          </cell>
        </row>
      </sheetData>
      <sheetData sheetId="6">
        <row r="273">
          <cell r="L273">
            <v>77.604999288894675</v>
          </cell>
          <cell r="M273">
            <v>78.081361548727614</v>
          </cell>
          <cell r="N273">
            <v>78.507300959650323</v>
          </cell>
          <cell r="O273">
            <v>79.353803719325214</v>
          </cell>
          <cell r="P273">
            <v>80.792986864857852</v>
          </cell>
          <cell r="Q273">
            <v>82.176831618323462</v>
          </cell>
          <cell r="R273">
            <v>83.868303909149006</v>
          </cell>
          <cell r="S273">
            <v>86.260008195317639</v>
          </cell>
          <cell r="T273">
            <v>89.194423142921437</v>
          </cell>
          <cell r="U273">
            <v>92.239384907168173</v>
          </cell>
        </row>
        <row r="274">
          <cell r="L274">
            <v>34.75673466035321</v>
          </cell>
          <cell r="M274">
            <v>34.971550192408081</v>
          </cell>
          <cell r="N274">
            <v>34.85788228956077</v>
          </cell>
          <cell r="O274">
            <v>34.880425670362278</v>
          </cell>
          <cell r="P274">
            <v>34.683150256788821</v>
          </cell>
          <cell r="Q274">
            <v>34.373634286771036</v>
          </cell>
          <cell r="R274">
            <v>34.096076613372723</v>
          </cell>
          <cell r="S274">
            <v>33.991445748654542</v>
          </cell>
          <cell r="T274">
            <v>33.923496893170963</v>
          </cell>
          <cell r="U274">
            <v>33.78137942808192</v>
          </cell>
        </row>
        <row r="275">
          <cell r="L275">
            <v>266.93714822833601</v>
          </cell>
          <cell r="M275">
            <v>264.03700085267911</v>
          </cell>
          <cell r="N275">
            <v>260.57550548409523</v>
          </cell>
          <cell r="O275">
            <v>256.75543688059588</v>
          </cell>
          <cell r="P275">
            <v>254.26188389272988</v>
          </cell>
          <cell r="Q275">
            <v>250.39877222456906</v>
          </cell>
          <cell r="R275">
            <v>247.4448800224805</v>
          </cell>
          <cell r="S275">
            <v>245.45890536940675</v>
          </cell>
          <cell r="T275">
            <v>244.08142763696111</v>
          </cell>
          <cell r="U275">
            <v>242.87887630543534</v>
          </cell>
        </row>
        <row r="276">
          <cell r="L276">
            <v>19.96345036876194</v>
          </cell>
          <cell r="M276">
            <v>19.540517636766594</v>
          </cell>
          <cell r="N276">
            <v>19.136278679446932</v>
          </cell>
          <cell r="O276">
            <v>18.662722828109761</v>
          </cell>
          <cell r="P276">
            <v>18.251845485258851</v>
          </cell>
          <cell r="Q276">
            <v>17.804535363146901</v>
          </cell>
          <cell r="R276">
            <v>17.312716291580642</v>
          </cell>
          <cell r="S276">
            <v>16.924251508291164</v>
          </cell>
          <cell r="T276">
            <v>16.57558304020267</v>
          </cell>
          <cell r="U276">
            <v>16.291632545685808</v>
          </cell>
        </row>
        <row r="277">
          <cell r="L277">
            <v>371.17481262877106</v>
          </cell>
          <cell r="M277">
            <v>370.2110349572917</v>
          </cell>
          <cell r="N277">
            <v>369.74807124963621</v>
          </cell>
          <cell r="O277">
            <v>369.3369927389823</v>
          </cell>
          <cell r="P277">
            <v>367.81707498624331</v>
          </cell>
          <cell r="Q277">
            <v>368.1839846932873</v>
          </cell>
          <cell r="R277">
            <v>367.0894326162317</v>
          </cell>
          <cell r="S277">
            <v>365.26725940703392</v>
          </cell>
          <cell r="T277">
            <v>363.40152173072653</v>
          </cell>
          <cell r="U277">
            <v>361.74945480475606</v>
          </cell>
        </row>
        <row r="278">
          <cell r="L278">
            <v>760.91638189075218</v>
          </cell>
          <cell r="M278">
            <v>758.76514192336208</v>
          </cell>
          <cell r="N278">
            <v>756.33634987936819</v>
          </cell>
          <cell r="O278">
            <v>753.85204212437338</v>
          </cell>
          <cell r="P278">
            <v>753.18887056747008</v>
          </cell>
          <cell r="Q278">
            <v>751.80149666788475</v>
          </cell>
          <cell r="R278">
            <v>750.22088664724527</v>
          </cell>
          <cell r="S278">
            <v>748.96554203761843</v>
          </cell>
          <cell r="T278">
            <v>747.94777276254342</v>
          </cell>
          <cell r="U278">
            <v>747.06530658284953</v>
          </cell>
        </row>
        <row r="279">
          <cell r="L279">
            <v>190.73374418486682</v>
          </cell>
          <cell r="M279">
            <v>194.5301086291224</v>
          </cell>
          <cell r="N279">
            <v>198.50669310971892</v>
          </cell>
          <cell r="O279">
            <v>202.71404247017944</v>
          </cell>
          <cell r="P279">
            <v>206.4363385322296</v>
          </cell>
          <cell r="Q279">
            <v>211.38375053422533</v>
          </cell>
          <cell r="R279">
            <v>214.67205729591078</v>
          </cell>
          <cell r="S279">
            <v>217.25026870403468</v>
          </cell>
          <cell r="T279">
            <v>219.66113838589709</v>
          </cell>
          <cell r="U279">
            <v>222.09331437456109</v>
          </cell>
        </row>
        <row r="280">
          <cell r="L280">
            <v>146.81326051578446</v>
          </cell>
          <cell r="M280">
            <v>145.88251831796299</v>
          </cell>
          <cell r="N280">
            <v>144.65951297917366</v>
          </cell>
          <cell r="O280">
            <v>143.15554982771374</v>
          </cell>
          <cell r="P280">
            <v>141.85290625880083</v>
          </cell>
          <cell r="Q280">
            <v>139.9482144888336</v>
          </cell>
          <cell r="R280">
            <v>138.81748703259211</v>
          </cell>
          <cell r="S280">
            <v>137.87599705511261</v>
          </cell>
          <cell r="T280">
            <v>137.04094749270376</v>
          </cell>
          <cell r="U280">
            <v>136.31963946390243</v>
          </cell>
        </row>
        <row r="281">
          <cell r="L281">
            <v>57.158559844528263</v>
          </cell>
          <cell r="M281">
            <v>55.858334072752882</v>
          </cell>
          <cell r="N281">
            <v>54.679192569644108</v>
          </cell>
          <cell r="O281">
            <v>53.520343634000099</v>
          </cell>
          <cell r="P281">
            <v>52.278163218426776</v>
          </cell>
          <cell r="Q281">
            <v>51.103844065867577</v>
          </cell>
          <cell r="R281">
            <v>49.682114682417513</v>
          </cell>
          <cell r="S281">
            <v>48.412369004633099</v>
          </cell>
          <cell r="T281">
            <v>47.322921258737338</v>
          </cell>
          <cell r="U281">
            <v>46.321151803195377</v>
          </cell>
        </row>
        <row r="282">
          <cell r="L282">
            <v>186.29386176411685</v>
          </cell>
          <cell r="M282">
            <v>189.22320233465436</v>
          </cell>
          <cell r="N282">
            <v>192.17625747492943</v>
          </cell>
          <cell r="O282">
            <v>194.68458042274369</v>
          </cell>
          <cell r="P282">
            <v>196.61429009020233</v>
          </cell>
          <cell r="Q282">
            <v>198.20135867366753</v>
          </cell>
          <cell r="R282">
            <v>199.81132056198354</v>
          </cell>
          <cell r="S282">
            <v>201.53339442824702</v>
          </cell>
          <cell r="T282">
            <v>203.14623192317922</v>
          </cell>
          <cell r="U282">
            <v>204.6493637111991</v>
          </cell>
        </row>
        <row r="283">
          <cell r="L283">
            <v>587.56418780498552</v>
          </cell>
          <cell r="M283">
            <v>608.12752422410938</v>
          </cell>
          <cell r="N283">
            <v>628.33888574270725</v>
          </cell>
          <cell r="O283">
            <v>645.8407627339617</v>
          </cell>
          <cell r="P283">
            <v>663.01386236728661</v>
          </cell>
          <cell r="Q283">
            <v>675.43721721616612</v>
          </cell>
          <cell r="R283">
            <v>692.43844477954917</v>
          </cell>
          <cell r="S283">
            <v>711.7801201260429</v>
          </cell>
          <cell r="T283">
            <v>731.04224255888187</v>
          </cell>
          <cell r="U283">
            <v>750.33949153148433</v>
          </cell>
        </row>
        <row r="284">
          <cell r="L284">
            <v>735.65947299999425</v>
          </cell>
          <cell r="M284">
            <v>748.07078396897725</v>
          </cell>
          <cell r="N284">
            <v>760.88486246297384</v>
          </cell>
          <cell r="O284">
            <v>773.41602743984902</v>
          </cell>
          <cell r="P284">
            <v>784.86165654672573</v>
          </cell>
          <cell r="Q284">
            <v>797.0186926896406</v>
          </cell>
          <cell r="R284">
            <v>808.0687192488283</v>
          </cell>
          <cell r="S284">
            <v>819.01885846336927</v>
          </cell>
          <cell r="T284">
            <v>829.60074591848763</v>
          </cell>
          <cell r="U284">
            <v>839.9203984771915</v>
          </cell>
        </row>
        <row r="285">
          <cell r="L285">
            <v>396.90070024100811</v>
          </cell>
          <cell r="M285">
            <v>407.55383255603698</v>
          </cell>
          <cell r="N285">
            <v>418.77484920626932</v>
          </cell>
          <cell r="O285">
            <v>430.3519636675465</v>
          </cell>
          <cell r="P285">
            <v>440.4401883294484</v>
          </cell>
          <cell r="Q285">
            <v>453.14961849192059</v>
          </cell>
          <cell r="R285">
            <v>462.53774571302694</v>
          </cell>
          <cell r="S285">
            <v>470.24182065939772</v>
          </cell>
          <cell r="T285">
            <v>477.16204036476756</v>
          </cell>
          <cell r="U285">
            <v>483.8231270158517</v>
          </cell>
        </row>
        <row r="287">
          <cell r="L287">
            <v>5.0398435954747756</v>
          </cell>
          <cell r="M287">
            <v>5.1005799258214752</v>
          </cell>
          <cell r="N287">
            <v>5.1336178009537061</v>
          </cell>
          <cell r="O287">
            <v>5.1817538371834733</v>
          </cell>
          <cell r="P287">
            <v>5.2305781764210835</v>
          </cell>
          <cell r="Q287">
            <v>5.2800073061362784</v>
          </cell>
          <cell r="R287">
            <v>5.3299720473747918</v>
          </cell>
          <cell r="S287">
            <v>5.3804144513422427</v>
          </cell>
          <cell r="T287">
            <v>5.431285492948664</v>
          </cell>
          <cell r="U287">
            <v>5.4825433276726043</v>
          </cell>
        </row>
        <row r="288">
          <cell r="L288">
            <v>0.85549098696068582</v>
          </cell>
          <cell r="M288">
            <v>0.98726764509069864</v>
          </cell>
          <cell r="N288">
            <v>0.97133883839359481</v>
          </cell>
          <cell r="O288">
            <v>0.98537427920147735</v>
          </cell>
          <cell r="P288">
            <v>0.99529782932635158</v>
          </cell>
          <cell r="Q288">
            <v>1.0124171881464903</v>
          </cell>
          <cell r="R288">
            <v>1.0261956357866848</v>
          </cell>
          <cell r="S288">
            <v>1.0399098351349572</v>
          </cell>
          <cell r="T288">
            <v>1.0535437241183272</v>
          </cell>
          <cell r="U288">
            <v>1.0681051978163214</v>
          </cell>
        </row>
        <row r="289">
          <cell r="L289">
            <v>0.1088733902688626</v>
          </cell>
          <cell r="M289">
            <v>0.11088624280863139</v>
          </cell>
          <cell r="N289">
            <v>0.10954042266398704</v>
          </cell>
          <cell r="O289">
            <v>0.10819460251934269</v>
          </cell>
          <cell r="P289">
            <v>0.10684878237469836</v>
          </cell>
          <cell r="Q289">
            <v>0.105502962230054</v>
          </cell>
          <cell r="R289">
            <v>0.10415714208540967</v>
          </cell>
          <cell r="S289">
            <v>0.10281132194076534</v>
          </cell>
          <cell r="T289">
            <v>0.10146550179612099</v>
          </cell>
          <cell r="U289">
            <v>0.10011968165147665</v>
          </cell>
        </row>
        <row r="314">
          <cell r="M314">
            <v>78.076456942934186</v>
          </cell>
          <cell r="N314">
            <v>78.505819311884125</v>
          </cell>
          <cell r="O314">
            <v>79.354328241001951</v>
          </cell>
          <cell r="P314">
            <v>80.794698696498955</v>
          </cell>
          <cell r="Q314">
            <v>82.1790437620392</v>
          </cell>
          <cell r="R314">
            <v>83.870861200255135</v>
          </cell>
          <cell r="S314">
            <v>86.262687176446988</v>
          </cell>
          <cell r="T314">
            <v>89.19736639567428</v>
          </cell>
          <cell r="U314">
            <v>92.242540372416329</v>
          </cell>
        </row>
        <row r="315">
          <cell r="M315">
            <v>34.970089984812411</v>
          </cell>
          <cell r="N315">
            <v>34.857720724284015</v>
          </cell>
          <cell r="O315">
            <v>34.880903938389942</v>
          </cell>
          <cell r="P315">
            <v>34.684140263669299</v>
          </cell>
          <cell r="Q315">
            <v>34.374851255438756</v>
          </cell>
          <cell r="R315">
            <v>34.097403836178501</v>
          </cell>
          <cell r="S315">
            <v>33.992785876372587</v>
          </cell>
          <cell r="T315">
            <v>33.924888790816304</v>
          </cell>
          <cell r="U315">
            <v>33.782803803432394</v>
          </cell>
        </row>
        <row r="316">
          <cell r="M316">
            <v>264.01927051577297</v>
          </cell>
          <cell r="N316">
            <v>260.56892126878535</v>
          </cell>
          <cell r="O316">
            <v>256.75503988515544</v>
          </cell>
          <cell r="P316">
            <v>254.26540117755999</v>
          </cell>
          <cell r="Q316">
            <v>250.40416562390061</v>
          </cell>
          <cell r="R316">
            <v>247.45114479924774</v>
          </cell>
          <cell r="S316">
            <v>245.4646569342932</v>
          </cell>
          <cell r="T316">
            <v>244.08717925414402</v>
          </cell>
          <cell r="U316">
            <v>242.88456893758229</v>
          </cell>
        </row>
        <row r="317">
          <cell r="M317">
            <v>19.539470996669426</v>
          </cell>
          <cell r="N317">
            <v>19.136013303527129</v>
          </cell>
          <cell r="O317">
            <v>18.662897661893613</v>
          </cell>
          <cell r="P317">
            <v>18.252289299847053</v>
          </cell>
          <cell r="Q317">
            <v>17.805118097524961</v>
          </cell>
          <cell r="R317">
            <v>17.313341919193306</v>
          </cell>
          <cell r="S317">
            <v>16.92495866128742</v>
          </cell>
          <cell r="T317">
            <v>16.576303716009555</v>
          </cell>
          <cell r="U317">
            <v>16.292331127546106</v>
          </cell>
        </row>
        <row r="318">
          <cell r="M318">
            <v>370.21184040663513</v>
          </cell>
          <cell r="N318">
            <v>369.76255131711764</v>
          </cell>
          <cell r="O318">
            <v>369.35969131983211</v>
          </cell>
          <cell r="P318">
            <v>367.84444859014616</v>
          </cell>
          <cell r="Q318">
            <v>368.2142021514245</v>
          </cell>
          <cell r="R318">
            <v>367.12016043185019</v>
          </cell>
          <cell r="S318">
            <v>365.29712982398411</v>
          </cell>
          <cell r="T318">
            <v>363.43030806578906</v>
          </cell>
          <cell r="U318">
            <v>361.77722713803644</v>
          </cell>
        </row>
        <row r="319">
          <cell r="M319">
            <v>758.73693475308539</v>
          </cell>
          <cell r="N319">
            <v>756.33453840920731</v>
          </cell>
          <cell r="O319">
            <v>753.86519690144587</v>
          </cell>
          <cell r="P319">
            <v>753.21070659173256</v>
          </cell>
          <cell r="Q319">
            <v>751.82937088059282</v>
          </cell>
          <cell r="R319">
            <v>750.25083745178563</v>
          </cell>
          <cell r="S319">
            <v>748.99637303651605</v>
          </cell>
          <cell r="T319">
            <v>747.97883899385477</v>
          </cell>
          <cell r="U319">
            <v>747.09649323622398</v>
          </cell>
        </row>
        <row r="320">
          <cell r="M320">
            <v>194.5393973624642</v>
          </cell>
          <cell r="N320">
            <v>198.51967343250021</v>
          </cell>
          <cell r="O320">
            <v>202.72912429189762</v>
          </cell>
          <cell r="P320">
            <v>206.45208247621886</v>
          </cell>
          <cell r="Q320">
            <v>211.40020211775942</v>
          </cell>
          <cell r="R320">
            <v>214.68878594194371</v>
          </cell>
          <cell r="S320">
            <v>217.2669835723205</v>
          </cell>
          <cell r="T320">
            <v>219.67821255600612</v>
          </cell>
          <cell r="U320">
            <v>222.11090711403006</v>
          </cell>
        </row>
        <row r="321">
          <cell r="M321">
            <v>145.87339737064394</v>
          </cell>
          <cell r="N321">
            <v>144.65613277720931</v>
          </cell>
          <cell r="O321">
            <v>143.1556318941864</v>
          </cell>
          <cell r="P321">
            <v>141.85525817237496</v>
          </cell>
          <cell r="Q321">
            <v>139.95180894931403</v>
          </cell>
          <cell r="R321">
            <v>138.82168175206419</v>
          </cell>
          <cell r="S321">
            <v>137.88048662264271</v>
          </cell>
          <cell r="T321">
            <v>137.04554110305816</v>
          </cell>
          <cell r="U321">
            <v>136.32423277027769</v>
          </cell>
        </row>
        <row r="322">
          <cell r="M322">
            <v>55.853795683101232</v>
          </cell>
          <cell r="N322">
            <v>54.677632038986054</v>
          </cell>
          <cell r="O322">
            <v>53.521309476625582</v>
          </cell>
          <cell r="P322">
            <v>52.280064675767477</v>
          </cell>
          <cell r="Q322">
            <v>51.106382451802965</v>
          </cell>
          <cell r="R322">
            <v>49.684832870714843</v>
          </cell>
          <cell r="S322">
            <v>48.415360548451645</v>
          </cell>
          <cell r="T322">
            <v>47.325830957741402</v>
          </cell>
          <cell r="U322">
            <v>46.323909988284349</v>
          </cell>
        </row>
        <row r="323">
          <cell r="M323">
            <v>189.21127952750146</v>
          </cell>
          <cell r="N323">
            <v>192.17175489150057</v>
          </cell>
          <cell r="O323">
            <v>194.68513083937552</v>
          </cell>
          <cell r="P323">
            <v>196.61802322388806</v>
          </cell>
          <cell r="Q323">
            <v>198.20775858886248</v>
          </cell>
          <cell r="R323">
            <v>199.81929866253472</v>
          </cell>
          <cell r="S323">
            <v>201.54311977016656</v>
          </cell>
          <cell r="T323">
            <v>203.15654499944986</v>
          </cell>
          <cell r="U323">
            <v>204.65993390592755</v>
          </cell>
        </row>
        <row r="324">
          <cell r="M324">
            <v>608.05660522664118</v>
          </cell>
          <cell r="N324">
            <v>628.29923525425977</v>
          </cell>
          <cell r="O324">
            <v>645.82294073496575</v>
          </cell>
          <cell r="P324">
            <v>663.01242245474384</v>
          </cell>
          <cell r="Q324">
            <v>675.4468226304291</v>
          </cell>
          <cell r="R324">
            <v>692.45356045402934</v>
          </cell>
          <cell r="S324">
            <v>711.80119765060726</v>
          </cell>
          <cell r="T324">
            <v>731.06524290358379</v>
          </cell>
          <cell r="U324">
            <v>750.36317212050972</v>
          </cell>
        </row>
        <row r="325">
          <cell r="M325">
            <v>748.08137746538841</v>
          </cell>
          <cell r="N325">
            <v>760.90326785073194</v>
          </cell>
          <cell r="O325">
            <v>773.4390730982459</v>
          </cell>
          <cell r="P325">
            <v>784.88744091433875</v>
          </cell>
          <cell r="Q325">
            <v>797.04676017149541</v>
          </cell>
          <cell r="R325">
            <v>808.09853084335737</v>
          </cell>
          <cell r="S325">
            <v>819.04996294319972</v>
          </cell>
          <cell r="T325">
            <v>829.63298941938513</v>
          </cell>
          <cell r="U325">
            <v>839.95378973436004</v>
          </cell>
        </row>
        <row r="326">
          <cell r="M326">
            <v>407.55383255603698</v>
          </cell>
          <cell r="N326">
            <v>418.77484920626932</v>
          </cell>
          <cell r="O326">
            <v>430.3519636675465</v>
          </cell>
          <cell r="P326">
            <v>440.4401883294484</v>
          </cell>
          <cell r="Q326">
            <v>453.14961849192059</v>
          </cell>
          <cell r="R326">
            <v>462.53774571302694</v>
          </cell>
          <cell r="S326">
            <v>470.24182065939772</v>
          </cell>
          <cell r="T326">
            <v>477.16204036476756</v>
          </cell>
          <cell r="U326">
            <v>483.8231270158517</v>
          </cell>
        </row>
        <row r="328">
          <cell r="M328">
            <v>5.1011418705854812</v>
          </cell>
          <cell r="N328">
            <v>5.1347214596636848</v>
          </cell>
          <cell r="O328">
            <v>5.1833955939503991</v>
          </cell>
          <cell r="P328">
            <v>5.232762812678228</v>
          </cell>
          <cell r="Q328">
            <v>5.2827436512096169</v>
          </cell>
          <cell r="R328">
            <v>5.3332665111913196</v>
          </cell>
          <cell r="S328">
            <v>5.3842750253312168</v>
          </cell>
          <cell r="T328">
            <v>5.4357190762285557</v>
          </cell>
          <cell r="U328">
            <v>5.4875568084259578</v>
          </cell>
        </row>
        <row r="329">
          <cell r="M329">
            <v>0.86648540609809199</v>
          </cell>
          <cell r="N329">
            <v>0.85256680697881038</v>
          </cell>
          <cell r="O329">
            <v>0.86671727786892583</v>
          </cell>
          <cell r="P329">
            <v>0.87646332363681256</v>
          </cell>
          <cell r="Q329">
            <v>0.89123934761421264</v>
          </cell>
          <cell r="R329">
            <v>0.9036731103322837</v>
          </cell>
          <cell r="S329">
            <v>0.91607282870967399</v>
          </cell>
          <cell r="T329">
            <v>0.92857611502235238</v>
          </cell>
          <cell r="U329">
            <v>0.94180802758055515</v>
          </cell>
        </row>
        <row r="330">
          <cell r="M330">
            <v>0.1108984594476122</v>
          </cell>
          <cell r="N330">
            <v>0.10956397238004602</v>
          </cell>
          <cell r="O330">
            <v>0.10822888226832582</v>
          </cell>
          <cell r="P330">
            <v>0.10689340951076905</v>
          </cell>
          <cell r="Q330">
            <v>0.10555763876631283</v>
          </cell>
          <cell r="R330">
            <v>0.10422152177310473</v>
          </cell>
          <cell r="S330">
            <v>0.10288509148377099</v>
          </cell>
          <cell r="T330">
            <v>0.10154832855100859</v>
          </cell>
          <cell r="U330">
            <v>0.10021123552838955</v>
          </cell>
        </row>
      </sheetData>
      <sheetData sheetId="7">
        <row r="986">
          <cell r="L986">
            <v>0.31160000000068067</v>
          </cell>
          <cell r="M986">
            <v>0.20199999999886131</v>
          </cell>
          <cell r="N986">
            <v>0.10535999999910928</v>
          </cell>
          <cell r="O986">
            <v>4.9959999998236526E-2</v>
          </cell>
          <cell r="P986">
            <v>-9.5400000016070408E-3</v>
          </cell>
          <cell r="Q986">
            <v>-4.4740000001411317E-2</v>
          </cell>
          <cell r="R986">
            <v>-0.11814000000049418</v>
          </cell>
          <cell r="S986">
            <v>-9.5339999998941494E-2</v>
          </cell>
          <cell r="T986">
            <v>-5.2839999998468556E-2</v>
          </cell>
        </row>
        <row r="987">
          <cell r="L987">
            <v>0.31160000000068067</v>
          </cell>
          <cell r="M987">
            <v>0.20199999999886131</v>
          </cell>
          <cell r="N987">
            <v>0.10535999999910928</v>
          </cell>
          <cell r="O987">
            <v>4.9959999998236526E-2</v>
          </cell>
          <cell r="P987">
            <v>-9.5400000016070408E-3</v>
          </cell>
          <cell r="Q987">
            <v>-4.4740000001411317E-2</v>
          </cell>
          <cell r="R987">
            <v>-0.11814000000049418</v>
          </cell>
          <cell r="S987">
            <v>-9.5339999998941494E-2</v>
          </cell>
          <cell r="T987">
            <v>-5.2839999998468556E-2</v>
          </cell>
        </row>
        <row r="988">
          <cell r="L988">
            <v>0.36820000000201958</v>
          </cell>
          <cell r="M988">
            <v>2.4866000000047137</v>
          </cell>
          <cell r="N988">
            <v>4.6748599999898488</v>
          </cell>
          <cell r="O988">
            <v>7.2746599999807415</v>
          </cell>
          <cell r="P988">
            <v>9.5668599999676189</v>
          </cell>
          <cell r="Q988">
            <v>11.144659999960652</v>
          </cell>
          <cell r="R988">
            <v>12.424959999956684</v>
          </cell>
          <cell r="S988">
            <v>14.012959999976999</v>
          </cell>
          <cell r="T988">
            <v>15.597259999980537</v>
          </cell>
        </row>
      </sheetData>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1.Disclaimer"/>
      <sheetName val="2.Summary"/>
      <sheetName val="3.Macro"/>
      <sheetName val="4.IGVA"/>
      <sheetName val="5.Employ"/>
      <sheetName val="6.TaxRev"/>
      <sheetName val="7.Figures"/>
      <sheetName val="base"/>
      <sheetName val="policy"/>
      <sheetName val="dev"/>
      <sheetName val="definition"/>
    </sheetNames>
    <sheetDataSet>
      <sheetData sheetId="0"/>
      <sheetData sheetId="1"/>
      <sheetData sheetId="2"/>
      <sheetData sheetId="3"/>
      <sheetData sheetId="4">
        <row r="14">
          <cell r="P14">
            <v>483126.72604559996</v>
          </cell>
          <cell r="Q14">
            <v>494345.26681308704</v>
          </cell>
          <cell r="R14">
            <v>505701.86062758404</v>
          </cell>
          <cell r="S14">
            <v>517464.789326898</v>
          </cell>
          <cell r="T14">
            <v>530140.86553864426</v>
          </cell>
          <cell r="U14">
            <v>542927.28006048419</v>
          </cell>
          <cell r="V14">
            <v>556029.79840291187</v>
          </cell>
          <cell r="W14">
            <v>569865.82149445056</v>
          </cell>
          <cell r="X14">
            <v>584196.69320022874</v>
          </cell>
          <cell r="Y14">
            <v>598850.39095411671</v>
          </cell>
        </row>
        <row r="19">
          <cell r="Q19">
            <v>494462.47335682565</v>
          </cell>
          <cell r="R19">
            <v>505774.09357482044</v>
          </cell>
          <cell r="S19">
            <v>517507.14215238782</v>
          </cell>
          <cell r="T19">
            <v>530163.50382372353</v>
          </cell>
          <cell r="U19">
            <v>542934.029287479</v>
          </cell>
          <cell r="V19">
            <v>556026.01470929978</v>
          </cell>
          <cell r="W19">
            <v>569853.43645089504</v>
          </cell>
          <cell r="X19">
            <v>584177.9562536485</v>
          </cell>
          <cell r="Y19">
            <v>598826.21850670874</v>
          </cell>
        </row>
      </sheetData>
      <sheetData sheetId="5">
        <row r="313">
          <cell r="L313">
            <v>6801.1851561408848</v>
          </cell>
          <cell r="M313">
            <v>6893.6118300884636</v>
          </cell>
          <cell r="N313">
            <v>6991.9906692935974</v>
          </cell>
          <cell r="O313">
            <v>7110.524016751132</v>
          </cell>
          <cell r="P313">
            <v>7255.1334606669943</v>
          </cell>
          <cell r="Q313">
            <v>7406.8720148673156</v>
          </cell>
          <cell r="R313">
            <v>7572.471593963819</v>
          </cell>
          <cell r="S313">
            <v>7762.441124604451</v>
          </cell>
          <cell r="T313">
            <v>7972.3074548564809</v>
          </cell>
          <cell r="U313">
            <v>8191.3182061275365</v>
          </cell>
        </row>
        <row r="314">
          <cell r="L314">
            <v>15669.261823813296</v>
          </cell>
          <cell r="M314">
            <v>16575.196602717609</v>
          </cell>
          <cell r="N314">
            <v>17463.728204317267</v>
          </cell>
          <cell r="O314">
            <v>18308.967444255046</v>
          </cell>
          <cell r="P314">
            <v>19107.385064004342</v>
          </cell>
          <cell r="Q314">
            <v>19838.472358112784</v>
          </cell>
          <cell r="R314">
            <v>20539.073435598537</v>
          </cell>
          <cell r="S314">
            <v>21215.327883232272</v>
          </cell>
          <cell r="T314">
            <v>21860.997236442337</v>
          </cell>
          <cell r="U314">
            <v>22484.873222179613</v>
          </cell>
        </row>
        <row r="315">
          <cell r="L315">
            <v>34419.199186824735</v>
          </cell>
          <cell r="M315">
            <v>34574.3199093492</v>
          </cell>
          <cell r="N315">
            <v>34667.139606830031</v>
          </cell>
          <cell r="O315">
            <v>34759.802382642803</v>
          </cell>
          <cell r="P315">
            <v>35043.31115663363</v>
          </cell>
          <cell r="Q315">
            <v>35191.290958623133</v>
          </cell>
          <cell r="R315">
            <v>35392.373811757338</v>
          </cell>
          <cell r="S315">
            <v>35685.63796236553</v>
          </cell>
          <cell r="T315">
            <v>36039.836598282978</v>
          </cell>
          <cell r="U315">
            <v>36423.204379114701</v>
          </cell>
        </row>
        <row r="316">
          <cell r="L316">
            <v>12264.410284140358</v>
          </cell>
          <cell r="M316">
            <v>12439.715232960445</v>
          </cell>
          <cell r="N316">
            <v>12602.34517747927</v>
          </cell>
          <cell r="O316">
            <v>12763.99430119611</v>
          </cell>
          <cell r="P316">
            <v>12954.127170311658</v>
          </cell>
          <cell r="Q316">
            <v>13150.151592990234</v>
          </cell>
          <cell r="R316">
            <v>13356.360830326441</v>
          </cell>
          <cell r="S316">
            <v>13594.619816832115</v>
          </cell>
          <cell r="T316">
            <v>13837.055731365786</v>
          </cell>
          <cell r="U316">
            <v>14088.20999704008</v>
          </cell>
        </row>
        <row r="317">
          <cell r="L317">
            <v>25526.286387900003</v>
          </cell>
          <cell r="M317">
            <v>26207.42215598881</v>
          </cell>
          <cell r="N317">
            <v>26799.935280544702</v>
          </cell>
          <cell r="O317">
            <v>27352.01930731098</v>
          </cell>
          <cell r="P317">
            <v>27851.272980525398</v>
          </cell>
          <cell r="Q317">
            <v>28399.541999910831</v>
          </cell>
          <cell r="R317">
            <v>28873.561595385545</v>
          </cell>
          <cell r="S317">
            <v>29316.909358970366</v>
          </cell>
          <cell r="T317">
            <v>29756.425532389116</v>
          </cell>
          <cell r="U317">
            <v>30194.844803613123</v>
          </cell>
        </row>
        <row r="318">
          <cell r="L318">
            <v>41551.416388000005</v>
          </cell>
          <cell r="M318">
            <v>42055.10265745534</v>
          </cell>
          <cell r="N318">
            <v>42521.455896334126</v>
          </cell>
          <cell r="O318">
            <v>43035.047049232409</v>
          </cell>
          <cell r="P318">
            <v>43706.432514742773</v>
          </cell>
          <cell r="Q318">
            <v>44380.765950082983</v>
          </cell>
          <cell r="R318">
            <v>45058.557883825844</v>
          </cell>
          <cell r="S318">
            <v>45810.139135183854</v>
          </cell>
          <cell r="T318">
            <v>46625.05570025964</v>
          </cell>
          <cell r="U318">
            <v>47472.773812979474</v>
          </cell>
        </row>
        <row r="319">
          <cell r="L319">
            <v>13119.405382999999</v>
          </cell>
          <cell r="M319">
            <v>13331.290339638141</v>
          </cell>
          <cell r="N319">
            <v>13570.704316589634</v>
          </cell>
          <cell r="O319">
            <v>13857.698928547303</v>
          </cell>
          <cell r="P319">
            <v>14163.31800648738</v>
          </cell>
          <cell r="Q319">
            <v>14549.391643030816</v>
          </cell>
          <cell r="R319">
            <v>14868.446707310002</v>
          </cell>
          <cell r="S319">
            <v>15171.608388293369</v>
          </cell>
          <cell r="T319">
            <v>15482.544433568086</v>
          </cell>
          <cell r="U319">
            <v>15799.888598568486</v>
          </cell>
        </row>
        <row r="320">
          <cell r="L320">
            <v>22910.695487353783</v>
          </cell>
          <cell r="M320">
            <v>23299.611056665315</v>
          </cell>
          <cell r="N320">
            <v>23672.102367484255</v>
          </cell>
          <cell r="O320">
            <v>24062.873758371752</v>
          </cell>
          <cell r="P320">
            <v>24524.196578337276</v>
          </cell>
          <cell r="Q320">
            <v>24955.585462151863</v>
          </cell>
          <cell r="R320">
            <v>25466.38107804305</v>
          </cell>
          <cell r="S320">
            <v>26029.249329694194</v>
          </cell>
          <cell r="T320">
            <v>26624.748823650254</v>
          </cell>
          <cell r="U320">
            <v>27245.764565824666</v>
          </cell>
        </row>
        <row r="321">
          <cell r="L321">
            <v>19153.615622600002</v>
          </cell>
          <cell r="M321">
            <v>19941.377018095667</v>
          </cell>
          <cell r="N321">
            <v>20765.98286985945</v>
          </cell>
          <cell r="O321">
            <v>21631.452967721441</v>
          </cell>
          <cell r="P321">
            <v>22531.144033264318</v>
          </cell>
          <cell r="Q321">
            <v>23467.290536702418</v>
          </cell>
          <cell r="R321">
            <v>24400.401636480885</v>
          </cell>
          <cell r="S321">
            <v>25346.629691622304</v>
          </cell>
          <cell r="T321">
            <v>26301.102656593786</v>
          </cell>
          <cell r="U321">
            <v>27267.084294744633</v>
          </cell>
        </row>
        <row r="322">
          <cell r="L322">
            <v>56049.221151999998</v>
          </cell>
          <cell r="M322">
            <v>57773.74358840473</v>
          </cell>
          <cell r="N322">
            <v>59574.86893164504</v>
          </cell>
          <cell r="O322">
            <v>61439.324029729803</v>
          </cell>
          <cell r="P322">
            <v>63358.620929162127</v>
          </cell>
          <cell r="Q322">
            <v>65295.576337173829</v>
          </cell>
          <cell r="R322">
            <v>67284.83218851636</v>
          </cell>
          <cell r="S322">
            <v>69376.542680693645</v>
          </cell>
          <cell r="T322">
            <v>71521.845759391668</v>
          </cell>
          <cell r="U322">
            <v>73698.563069786731</v>
          </cell>
        </row>
        <row r="323">
          <cell r="L323">
            <v>67727.481787600002</v>
          </cell>
          <cell r="M323">
            <v>70043.003116939901</v>
          </cell>
          <cell r="N323">
            <v>72385.65439488877</v>
          </cell>
          <cell r="O323">
            <v>74666.352639301171</v>
          </cell>
          <cell r="P323">
            <v>77094.48749386071</v>
          </cell>
          <cell r="Q323">
            <v>79219.057380216516</v>
          </cell>
          <cell r="R323">
            <v>81721.143776136232</v>
          </cell>
          <cell r="S323">
            <v>84533.094784443674</v>
          </cell>
          <cell r="T323">
            <v>87469.38564501924</v>
          </cell>
          <cell r="U323">
            <v>90487.061955895275</v>
          </cell>
        </row>
        <row r="324">
          <cell r="L324">
            <v>77176.690303199997</v>
          </cell>
          <cell r="M324">
            <v>78755.655927782194</v>
          </cell>
          <cell r="N324">
            <v>80518.365018757802</v>
          </cell>
          <cell r="O324">
            <v>82535.350062477693</v>
          </cell>
          <cell r="P324">
            <v>84773.221797606719</v>
          </cell>
          <cell r="Q324">
            <v>87245.26828648019</v>
          </cell>
          <cell r="R324">
            <v>89713.91677528029</v>
          </cell>
          <cell r="S324">
            <v>92378.41113211443</v>
          </cell>
          <cell r="T324">
            <v>95194.197481832409</v>
          </cell>
          <cell r="U324">
            <v>98101.95184101371</v>
          </cell>
        </row>
        <row r="325">
          <cell r="L325">
            <v>12470.944018556109</v>
          </cell>
          <cell r="M325">
            <v>12741.362721560077</v>
          </cell>
          <cell r="N325">
            <v>13043.772595074945</v>
          </cell>
          <cell r="O325">
            <v>13393.228306669598</v>
          </cell>
          <cell r="P325">
            <v>13749.277905942594</v>
          </cell>
          <cell r="Q325">
            <v>14193.611945101151</v>
          </cell>
          <cell r="R325">
            <v>14564.967930588</v>
          </cell>
          <cell r="S325">
            <v>14916.507996560671</v>
          </cell>
          <cell r="T325">
            <v>15268.865748455428</v>
          </cell>
          <cell r="U325">
            <v>15622.964487141282</v>
          </cell>
        </row>
        <row r="326">
          <cell r="L326">
            <v>44804.728590999999</v>
          </cell>
          <cell r="M326">
            <v>46146.088075084495</v>
          </cell>
          <cell r="N326">
            <v>47539.252317897714</v>
          </cell>
          <cell r="O326">
            <v>48980.62343247544</v>
          </cell>
          <cell r="P326">
            <v>50477.912110182784</v>
          </cell>
          <cell r="Q326">
            <v>52019.315729961745</v>
          </cell>
          <cell r="R326">
            <v>53641.522485205889</v>
          </cell>
          <cell r="S326">
            <v>55289.014565294019</v>
          </cell>
          <cell r="T326">
            <v>56937.036338047561</v>
          </cell>
          <cell r="U326">
            <v>58579.891890841958</v>
          </cell>
        </row>
        <row r="327">
          <cell r="L327">
            <v>604.77959442416727</v>
          </cell>
          <cell r="M327">
            <v>612.06793433750715</v>
          </cell>
          <cell r="N327">
            <v>616.03246862207254</v>
          </cell>
          <cell r="O327">
            <v>621.80877733418504</v>
          </cell>
          <cell r="P327">
            <v>627.66768218366542</v>
          </cell>
          <cell r="Q327">
            <v>633.59916169400901</v>
          </cell>
          <cell r="R327">
            <v>639.59491441317448</v>
          </cell>
          <cell r="S327">
            <v>645.64798650465889</v>
          </cell>
          <cell r="T327">
            <v>651.7524949735905</v>
          </cell>
          <cell r="U327">
            <v>657.90341849098695</v>
          </cell>
        </row>
        <row r="328">
          <cell r="L328">
            <v>102.65891843528229</v>
          </cell>
          <cell r="M328">
            <v>118.47211741088383</v>
          </cell>
          <cell r="N328">
            <v>116.56066060723137</v>
          </cell>
          <cell r="O328">
            <v>118.24491350417728</v>
          </cell>
          <cell r="P328">
            <v>119.43573951916218</v>
          </cell>
          <cell r="Q328">
            <v>121.49006257757883</v>
          </cell>
          <cell r="R328">
            <v>123.14347629440218</v>
          </cell>
          <cell r="S328">
            <v>124.78918021619485</v>
          </cell>
          <cell r="T328">
            <v>126.42524689419926</v>
          </cell>
          <cell r="U328">
            <v>128.17262373795856</v>
          </cell>
        </row>
        <row r="329">
          <cell r="L329">
            <v>12.835960627557233</v>
          </cell>
          <cell r="M329">
            <v>13.073272020963341</v>
          </cell>
          <cell r="N329">
            <v>12.914602447564663</v>
          </cell>
          <cell r="O329">
            <v>12.755932874165985</v>
          </cell>
          <cell r="P329">
            <v>12.59726330076731</v>
          </cell>
          <cell r="Q329">
            <v>12.438593727368628</v>
          </cell>
          <cell r="R329">
            <v>12.279924153969953</v>
          </cell>
          <cell r="S329">
            <v>12.121254580571275</v>
          </cell>
          <cell r="T329">
            <v>11.962585007172597</v>
          </cell>
          <cell r="U329">
            <v>11.80391543377392</v>
          </cell>
        </row>
        <row r="377">
          <cell r="M377">
            <v>6894.8421321616088</v>
          </cell>
          <cell r="N377">
            <v>6992.7972675111105</v>
          </cell>
          <cell r="O377">
            <v>7111.0789211731362</v>
          </cell>
          <cell r="P377">
            <v>7255.5314543755858</v>
          </cell>
          <cell r="Q377">
            <v>7407.1844713774599</v>
          </cell>
          <cell r="R377">
            <v>7572.7194742099646</v>
          </cell>
          <cell r="S377">
            <v>7762.6620025601333</v>
          </cell>
          <cell r="T377">
            <v>7972.502570732715</v>
          </cell>
          <cell r="U377">
            <v>8191.4944571834585</v>
          </cell>
        </row>
        <row r="378">
          <cell r="M378">
            <v>16576.788850859397</v>
          </cell>
          <cell r="N378">
            <v>17465.831288135174</v>
          </cell>
          <cell r="O378">
            <v>18311.512334258099</v>
          </cell>
          <cell r="P378">
            <v>19110.270803181855</v>
          </cell>
          <cell r="Q378">
            <v>19841.636252702454</v>
          </cell>
          <cell r="R378">
            <v>20542.441479938247</v>
          </cell>
          <cell r="S378">
            <v>21218.883175431758</v>
          </cell>
          <cell r="T378">
            <v>21864.682120227691</v>
          </cell>
          <cell r="U378">
            <v>22488.680510675251</v>
          </cell>
        </row>
        <row r="379">
          <cell r="M379">
            <v>34587.789683354698</v>
          </cell>
          <cell r="N379">
            <v>34676.226718059246</v>
          </cell>
          <cell r="O379">
            <v>34766.18142566405</v>
          </cell>
          <cell r="P379">
            <v>35047.961892800311</v>
          </cell>
          <cell r="Q379">
            <v>35194.879535068765</v>
          </cell>
          <cell r="R379">
            <v>35395.154550329207</v>
          </cell>
          <cell r="S379">
            <v>35688.017037126381</v>
          </cell>
          <cell r="T379">
            <v>36041.86791966077</v>
          </cell>
          <cell r="U379">
            <v>36424.985479363277</v>
          </cell>
        </row>
        <row r="380">
          <cell r="M380">
            <v>12440.930397045579</v>
          </cell>
          <cell r="N380">
            <v>12602.514633277888</v>
          </cell>
          <cell r="O380">
            <v>12763.460586766101</v>
          </cell>
          <cell r="P380">
            <v>12953.098341248819</v>
          </cell>
          <cell r="Q380">
            <v>13148.752125528419</v>
          </cell>
          <cell r="R380">
            <v>13354.640361289687</v>
          </cell>
          <cell r="S380">
            <v>13592.64585619163</v>
          </cell>
          <cell r="T380">
            <v>13834.848423959933</v>
          </cell>
          <cell r="U380">
            <v>14085.784143680263</v>
          </cell>
        </row>
        <row r="381">
          <cell r="M381">
            <v>26206.08968383936</v>
          </cell>
          <cell r="N381">
            <v>26794.736111535698</v>
          </cell>
          <cell r="O381">
            <v>27344.01480445412</v>
          </cell>
          <cell r="P381">
            <v>27841.284854483485</v>
          </cell>
          <cell r="Q381">
            <v>28387.942914344298</v>
          </cell>
          <cell r="R381">
            <v>28860.815073439986</v>
          </cell>
          <cell r="S381">
            <v>29303.366811776115</v>
          </cell>
          <cell r="T381">
            <v>29742.278500556262</v>
          </cell>
          <cell r="U381">
            <v>30180.224628793399</v>
          </cell>
        </row>
        <row r="382">
          <cell r="M382">
            <v>42064.771672048824</v>
          </cell>
          <cell r="N382">
            <v>42525.906731503659</v>
          </cell>
          <cell r="O382">
            <v>43036.260138188431</v>
          </cell>
          <cell r="P382">
            <v>43705.719290020046</v>
          </cell>
          <cell r="Q382">
            <v>44378.726179079349</v>
          </cell>
          <cell r="R382">
            <v>45055.697019705491</v>
          </cell>
          <cell r="S382">
            <v>45806.707905478448</v>
          </cell>
          <cell r="T382">
            <v>46621.2244627705</v>
          </cell>
          <cell r="U382">
            <v>47468.616500728262</v>
          </cell>
        </row>
        <row r="383">
          <cell r="M383">
            <v>13329.275198971312</v>
          </cell>
          <cell r="N383">
            <v>13567.546656573086</v>
          </cell>
          <cell r="O383">
            <v>13853.679431786884</v>
          </cell>
          <cell r="P383">
            <v>14158.641862486751</v>
          </cell>
          <cell r="Q383">
            <v>14544.079738180857</v>
          </cell>
          <cell r="R383">
            <v>14862.622718198521</v>
          </cell>
          <cell r="S383">
            <v>15165.430820934555</v>
          </cell>
          <cell r="T383">
            <v>15476.008228345721</v>
          </cell>
          <cell r="U383">
            <v>15793.023423697621</v>
          </cell>
        </row>
        <row r="384">
          <cell r="M384">
            <v>23304.084986054841</v>
          </cell>
          <cell r="N384">
            <v>23673.492182921702</v>
          </cell>
          <cell r="O384">
            <v>24062.416483140416</v>
          </cell>
          <cell r="P384">
            <v>24522.596560131478</v>
          </cell>
          <cell r="Q384">
            <v>24953.253502976706</v>
          </cell>
          <cell r="R384">
            <v>25463.551543350393</v>
          </cell>
          <cell r="S384">
            <v>26026.067596110079</v>
          </cell>
          <cell r="T384">
            <v>26621.300304400105</v>
          </cell>
          <cell r="U384">
            <v>27242.098069843865</v>
          </cell>
        </row>
        <row r="385">
          <cell r="M385">
            <v>19945.627205402325</v>
          </cell>
          <cell r="N385">
            <v>20770.087684188511</v>
          </cell>
          <cell r="O385">
            <v>21635.4422324187</v>
          </cell>
          <cell r="P385">
            <v>22535.080700694467</v>
          </cell>
          <cell r="Q385">
            <v>23471.145136347983</v>
          </cell>
          <cell r="R385">
            <v>24404.28275930474</v>
          </cell>
          <cell r="S385">
            <v>25350.400195458846</v>
          </cell>
          <cell r="T385">
            <v>26304.792062017477</v>
          </cell>
          <cell r="U385">
            <v>27270.680352221902</v>
          </cell>
        </row>
        <row r="386">
          <cell r="M386">
            <v>57787.598955873502</v>
          </cell>
          <cell r="N386">
            <v>59583.753106619966</v>
          </cell>
          <cell r="O386">
            <v>61444.994635912692</v>
          </cell>
          <cell r="P386">
            <v>63362.109191050484</v>
          </cell>
          <cell r="Q386">
            <v>65297.473135236527</v>
          </cell>
          <cell r="R386">
            <v>67285.826900435684</v>
          </cell>
          <cell r="S386">
            <v>69376.39081364953</v>
          </cell>
          <cell r="T386">
            <v>71520.877492451182</v>
          </cell>
          <cell r="U386">
            <v>73696.83582136927</v>
          </cell>
        </row>
        <row r="387">
          <cell r="M387">
            <v>70081.81773675236</v>
          </cell>
          <cell r="N387">
            <v>72413.706123761498</v>
          </cell>
          <cell r="O387">
            <v>74687.858564578215</v>
          </cell>
          <cell r="P387">
            <v>77112.174172083425</v>
          </cell>
          <cell r="Q387">
            <v>79234.432295995255</v>
          </cell>
          <cell r="R387">
            <v>81735.498845191265</v>
          </cell>
          <cell r="S387">
            <v>84546.194658830034</v>
          </cell>
          <cell r="T387">
            <v>87482.061268357895</v>
          </cell>
          <cell r="U387">
            <v>90499.501273832226</v>
          </cell>
        </row>
        <row r="388">
          <cell r="M388">
            <v>78691.838522570484</v>
          </cell>
          <cell r="N388">
            <v>80450.451599056745</v>
          </cell>
          <cell r="O388">
            <v>82464.214898077902</v>
          </cell>
          <cell r="P388">
            <v>84699.168296667107</v>
          </cell>
          <cell r="Q388">
            <v>87168.428559770327</v>
          </cell>
          <cell r="R388">
            <v>89634.554156369064</v>
          </cell>
          <cell r="S388">
            <v>92296.781085911964</v>
          </cell>
          <cell r="T388">
            <v>95110.162337294634</v>
          </cell>
          <cell r="U388">
            <v>98015.511488244447</v>
          </cell>
        </row>
        <row r="389">
          <cell r="M389">
            <v>12741.362721560077</v>
          </cell>
          <cell r="N389">
            <v>13043.772595074945</v>
          </cell>
          <cell r="O389">
            <v>13393.228306669598</v>
          </cell>
          <cell r="P389">
            <v>13749.277905942594</v>
          </cell>
          <cell r="Q389">
            <v>14193.611945101151</v>
          </cell>
          <cell r="R389">
            <v>14564.967930588</v>
          </cell>
          <cell r="S389">
            <v>14916.507996560671</v>
          </cell>
          <cell r="T389">
            <v>15268.865748455428</v>
          </cell>
          <cell r="U389">
            <v>15622.964487141282</v>
          </cell>
        </row>
        <row r="390">
          <cell r="M390">
            <v>46146.074633665921</v>
          </cell>
          <cell r="N390">
            <v>47536.825030975342</v>
          </cell>
          <cell r="O390">
            <v>48975.78373939298</v>
          </cell>
          <cell r="P390">
            <v>50470.558942167874</v>
          </cell>
          <cell r="Q390">
            <v>52009.386096090988</v>
          </cell>
          <cell r="R390">
            <v>53628.927173491604</v>
          </cell>
          <cell r="S390">
            <v>55273.688829653569</v>
          </cell>
          <cell r="T390">
            <v>56918.982033463682</v>
          </cell>
          <cell r="U390">
            <v>58559.113884554339</v>
          </cell>
        </row>
        <row r="391">
          <cell r="M391">
            <v>652.01183513722935</v>
          </cell>
          <cell r="N391">
            <v>658.45666573758501</v>
          </cell>
          <cell r="O391">
            <v>666.92491421802674</v>
          </cell>
          <cell r="P391">
            <v>675.56084122978586</v>
          </cell>
          <cell r="Q391">
            <v>684.50812952848537</v>
          </cell>
          <cell r="R391">
            <v>693.34324230262325</v>
          </cell>
          <cell r="S391">
            <v>702.2540971682655</v>
          </cell>
          <cell r="T391">
            <v>711.21608282855732</v>
          </cell>
          <cell r="U391">
            <v>720.25086680585662</v>
          </cell>
        </row>
        <row r="392">
          <cell r="M392">
            <v>132.68323135046558</v>
          </cell>
          <cell r="N392">
            <v>131.58002391451862</v>
          </cell>
          <cell r="O392">
            <v>134.16649681387565</v>
          </cell>
          <cell r="P392">
            <v>136.28568562796633</v>
          </cell>
          <cell r="Q392">
            <v>139.37232101343926</v>
          </cell>
          <cell r="R392">
            <v>141.99196317828523</v>
          </cell>
          <cell r="S392">
            <v>144.61398013549422</v>
          </cell>
          <cell r="T392">
            <v>147.22957221851411</v>
          </cell>
          <cell r="U392">
            <v>149.97381249193498</v>
          </cell>
        </row>
        <row r="393">
          <cell r="M393">
            <v>15.869808669349885</v>
          </cell>
          <cell r="N393">
            <v>15.828872144059838</v>
          </cell>
          <cell r="O393">
            <v>15.799157819688673</v>
          </cell>
          <cell r="P393">
            <v>15.771838317445107</v>
          </cell>
          <cell r="Q393">
            <v>15.757928511854656</v>
          </cell>
          <cell r="R393">
            <v>15.727710195228177</v>
          </cell>
          <cell r="S393">
            <v>15.694998722908991</v>
          </cell>
          <cell r="T393">
            <v>15.658473416037571</v>
          </cell>
          <cell r="U393">
            <v>15.620026380587028</v>
          </cell>
        </row>
      </sheetData>
      <sheetData sheetId="6">
        <row r="273">
          <cell r="L273">
            <v>77.604999288894675</v>
          </cell>
          <cell r="M273">
            <v>78.081361548727614</v>
          </cell>
          <cell r="N273">
            <v>78.507300959650323</v>
          </cell>
          <cell r="O273">
            <v>79.353803719325214</v>
          </cell>
          <cell r="P273">
            <v>80.792986864857852</v>
          </cell>
          <cell r="Q273">
            <v>82.176831618323462</v>
          </cell>
          <cell r="R273">
            <v>83.868303909149006</v>
          </cell>
          <cell r="S273">
            <v>86.260008195317639</v>
          </cell>
          <cell r="T273">
            <v>89.194423142921437</v>
          </cell>
          <cell r="U273">
            <v>92.239384907168173</v>
          </cell>
        </row>
        <row r="274">
          <cell r="L274">
            <v>34.75673466035321</v>
          </cell>
          <cell r="M274">
            <v>34.971550192408081</v>
          </cell>
          <cell r="N274">
            <v>34.85788228956077</v>
          </cell>
          <cell r="O274">
            <v>34.880425670362278</v>
          </cell>
          <cell r="P274">
            <v>34.683150256788821</v>
          </cell>
          <cell r="Q274">
            <v>34.373634286771036</v>
          </cell>
          <cell r="R274">
            <v>34.096076613372723</v>
          </cell>
          <cell r="S274">
            <v>33.991445748654542</v>
          </cell>
          <cell r="T274">
            <v>33.923496893170963</v>
          </cell>
          <cell r="U274">
            <v>33.78137942808192</v>
          </cell>
        </row>
        <row r="275">
          <cell r="L275">
            <v>266.93714822833601</v>
          </cell>
          <cell r="M275">
            <v>264.03700085267911</v>
          </cell>
          <cell r="N275">
            <v>260.57550548409523</v>
          </cell>
          <cell r="O275">
            <v>256.75543688059588</v>
          </cell>
          <cell r="P275">
            <v>254.26188389272988</v>
          </cell>
          <cell r="Q275">
            <v>250.39877222456906</v>
          </cell>
          <cell r="R275">
            <v>247.4448800224805</v>
          </cell>
          <cell r="S275">
            <v>245.45890536940675</v>
          </cell>
          <cell r="T275">
            <v>244.08142763696111</v>
          </cell>
          <cell r="U275">
            <v>242.87887630543534</v>
          </cell>
        </row>
        <row r="276">
          <cell r="L276">
            <v>19.96345036876194</v>
          </cell>
          <cell r="M276">
            <v>19.540517636766594</v>
          </cell>
          <cell r="N276">
            <v>19.136278679446932</v>
          </cell>
          <cell r="O276">
            <v>18.662722828109761</v>
          </cell>
          <cell r="P276">
            <v>18.251845485258851</v>
          </cell>
          <cell r="Q276">
            <v>17.804535363146901</v>
          </cell>
          <cell r="R276">
            <v>17.312716291580642</v>
          </cell>
          <cell r="S276">
            <v>16.924251508291164</v>
          </cell>
          <cell r="T276">
            <v>16.57558304020267</v>
          </cell>
          <cell r="U276">
            <v>16.291632545685808</v>
          </cell>
        </row>
        <row r="277">
          <cell r="L277">
            <v>371.17481262877106</v>
          </cell>
          <cell r="M277">
            <v>370.2110349572917</v>
          </cell>
          <cell r="N277">
            <v>369.74807124963621</v>
          </cell>
          <cell r="O277">
            <v>369.3369927389823</v>
          </cell>
          <cell r="P277">
            <v>367.81707498624331</v>
          </cell>
          <cell r="Q277">
            <v>368.1839846932873</v>
          </cell>
          <cell r="R277">
            <v>367.0894326162317</v>
          </cell>
          <cell r="S277">
            <v>365.26725940703392</v>
          </cell>
          <cell r="T277">
            <v>363.40152173072653</v>
          </cell>
          <cell r="U277">
            <v>361.74945480475606</v>
          </cell>
        </row>
        <row r="278">
          <cell r="L278">
            <v>760.91638189075218</v>
          </cell>
          <cell r="M278">
            <v>758.76514192336208</v>
          </cell>
          <cell r="N278">
            <v>756.33634987936819</v>
          </cell>
          <cell r="O278">
            <v>753.85204212437338</v>
          </cell>
          <cell r="P278">
            <v>753.18887056747008</v>
          </cell>
          <cell r="Q278">
            <v>751.80149666788475</v>
          </cell>
          <cell r="R278">
            <v>750.22088664724527</v>
          </cell>
          <cell r="S278">
            <v>748.96554203761843</v>
          </cell>
          <cell r="T278">
            <v>747.94777276254342</v>
          </cell>
          <cell r="U278">
            <v>747.06530658284953</v>
          </cell>
        </row>
        <row r="279">
          <cell r="L279">
            <v>190.73374418486682</v>
          </cell>
          <cell r="M279">
            <v>194.5301086291224</v>
          </cell>
          <cell r="N279">
            <v>198.50669310971892</v>
          </cell>
          <cell r="O279">
            <v>202.71404247017944</v>
          </cell>
          <cell r="P279">
            <v>206.4363385322296</v>
          </cell>
          <cell r="Q279">
            <v>211.38375053422533</v>
          </cell>
          <cell r="R279">
            <v>214.67205729591078</v>
          </cell>
          <cell r="S279">
            <v>217.25026870403468</v>
          </cell>
          <cell r="T279">
            <v>219.66113838589709</v>
          </cell>
          <cell r="U279">
            <v>222.09331437456109</v>
          </cell>
        </row>
        <row r="280">
          <cell r="L280">
            <v>146.81326051578446</v>
          </cell>
          <cell r="M280">
            <v>145.88251831796299</v>
          </cell>
          <cell r="N280">
            <v>144.65951297917366</v>
          </cell>
          <cell r="O280">
            <v>143.15554982771374</v>
          </cell>
          <cell r="P280">
            <v>141.85290625880083</v>
          </cell>
          <cell r="Q280">
            <v>139.9482144888336</v>
          </cell>
          <cell r="R280">
            <v>138.81748703259211</v>
          </cell>
          <cell r="S280">
            <v>137.87599705511261</v>
          </cell>
          <cell r="T280">
            <v>137.04094749270376</v>
          </cell>
          <cell r="U280">
            <v>136.31963946390243</v>
          </cell>
        </row>
        <row r="281">
          <cell r="L281">
            <v>57.158559844528263</v>
          </cell>
          <cell r="M281">
            <v>55.858334072752882</v>
          </cell>
          <cell r="N281">
            <v>54.679192569644108</v>
          </cell>
          <cell r="O281">
            <v>53.520343634000099</v>
          </cell>
          <cell r="P281">
            <v>52.278163218426776</v>
          </cell>
          <cell r="Q281">
            <v>51.103844065867577</v>
          </cell>
          <cell r="R281">
            <v>49.682114682417513</v>
          </cell>
          <cell r="S281">
            <v>48.412369004633099</v>
          </cell>
          <cell r="T281">
            <v>47.322921258737338</v>
          </cell>
          <cell r="U281">
            <v>46.321151803195377</v>
          </cell>
        </row>
        <row r="282">
          <cell r="L282">
            <v>186.29386176411685</v>
          </cell>
          <cell r="M282">
            <v>189.22320233465436</v>
          </cell>
          <cell r="N282">
            <v>192.17625747492943</v>
          </cell>
          <cell r="O282">
            <v>194.68458042274369</v>
          </cell>
          <cell r="P282">
            <v>196.61429009020233</v>
          </cell>
          <cell r="Q282">
            <v>198.20135867366753</v>
          </cell>
          <cell r="R282">
            <v>199.81132056198354</v>
          </cell>
          <cell r="S282">
            <v>201.53339442824702</v>
          </cell>
          <cell r="T282">
            <v>203.14623192317922</v>
          </cell>
          <cell r="U282">
            <v>204.6493637111991</v>
          </cell>
        </row>
        <row r="283">
          <cell r="L283">
            <v>587.56418780498552</v>
          </cell>
          <cell r="M283">
            <v>608.12752422410938</v>
          </cell>
          <cell r="N283">
            <v>628.33888574270725</v>
          </cell>
          <cell r="O283">
            <v>645.8407627339617</v>
          </cell>
          <cell r="P283">
            <v>663.01386236728661</v>
          </cell>
          <cell r="Q283">
            <v>675.43721721616612</v>
          </cell>
          <cell r="R283">
            <v>692.43844477954917</v>
          </cell>
          <cell r="S283">
            <v>711.7801201260429</v>
          </cell>
          <cell r="T283">
            <v>731.04224255888187</v>
          </cell>
          <cell r="U283">
            <v>750.33949153148433</v>
          </cell>
        </row>
        <row r="284">
          <cell r="L284">
            <v>735.65947299999425</v>
          </cell>
          <cell r="M284">
            <v>748.07078396897725</v>
          </cell>
          <cell r="N284">
            <v>760.88486246297384</v>
          </cell>
          <cell r="O284">
            <v>773.41602743984902</v>
          </cell>
          <cell r="P284">
            <v>784.86165654672573</v>
          </cell>
          <cell r="Q284">
            <v>797.0186926896406</v>
          </cell>
          <cell r="R284">
            <v>808.0687192488283</v>
          </cell>
          <cell r="S284">
            <v>819.01885846336927</v>
          </cell>
          <cell r="T284">
            <v>829.60074591848763</v>
          </cell>
          <cell r="U284">
            <v>839.9203984771915</v>
          </cell>
        </row>
        <row r="285">
          <cell r="L285">
            <v>396.90070024100811</v>
          </cell>
          <cell r="M285">
            <v>407.55383255603698</v>
          </cell>
          <cell r="N285">
            <v>418.77484920626932</v>
          </cell>
          <cell r="O285">
            <v>430.3519636675465</v>
          </cell>
          <cell r="P285">
            <v>440.4401883294484</v>
          </cell>
          <cell r="Q285">
            <v>453.14961849192059</v>
          </cell>
          <cell r="R285">
            <v>462.53774571302694</v>
          </cell>
          <cell r="S285">
            <v>470.24182065939772</v>
          </cell>
          <cell r="T285">
            <v>477.16204036476756</v>
          </cell>
          <cell r="U285">
            <v>483.8231270158517</v>
          </cell>
        </row>
        <row r="287">
          <cell r="L287">
            <v>5.0398435954747756</v>
          </cell>
          <cell r="M287">
            <v>5.1005799258214752</v>
          </cell>
          <cell r="N287">
            <v>5.1336178009537061</v>
          </cell>
          <cell r="O287">
            <v>5.1817538371834733</v>
          </cell>
          <cell r="P287">
            <v>5.2305781764210835</v>
          </cell>
          <cell r="Q287">
            <v>5.2800073061362784</v>
          </cell>
          <cell r="R287">
            <v>5.3299720473747918</v>
          </cell>
          <cell r="S287">
            <v>5.3804144513422427</v>
          </cell>
          <cell r="T287">
            <v>5.431285492948664</v>
          </cell>
          <cell r="U287">
            <v>5.4825433276726043</v>
          </cell>
        </row>
        <row r="288">
          <cell r="L288">
            <v>0.85549098696068582</v>
          </cell>
          <cell r="M288">
            <v>0.98726764509069864</v>
          </cell>
          <cell r="N288">
            <v>0.97133883839359481</v>
          </cell>
          <cell r="O288">
            <v>0.98537427920147735</v>
          </cell>
          <cell r="P288">
            <v>0.99529782932635158</v>
          </cell>
          <cell r="Q288">
            <v>1.0124171881464903</v>
          </cell>
          <cell r="R288">
            <v>1.0261956357866848</v>
          </cell>
          <cell r="S288">
            <v>1.0399098351349572</v>
          </cell>
          <cell r="T288">
            <v>1.0535437241183272</v>
          </cell>
          <cell r="U288">
            <v>1.0681051978163214</v>
          </cell>
        </row>
        <row r="289">
          <cell r="L289">
            <v>0.1088733902688626</v>
          </cell>
          <cell r="M289">
            <v>0.11088624280863139</v>
          </cell>
          <cell r="N289">
            <v>0.10954042266398704</v>
          </cell>
          <cell r="O289">
            <v>0.10819460251934269</v>
          </cell>
          <cell r="P289">
            <v>0.10684878237469836</v>
          </cell>
          <cell r="Q289">
            <v>0.105502962230054</v>
          </cell>
          <cell r="R289">
            <v>0.10415714208540967</v>
          </cell>
          <cell r="S289">
            <v>0.10281132194076534</v>
          </cell>
          <cell r="T289">
            <v>0.10146550179612099</v>
          </cell>
          <cell r="U289">
            <v>0.10011968165147665</v>
          </cell>
        </row>
        <row r="314">
          <cell r="M314">
            <v>78.112793092617494</v>
          </cell>
          <cell r="N314">
            <v>78.516801788432701</v>
          </cell>
          <cell r="O314">
            <v>79.350942366060707</v>
          </cell>
          <cell r="P314">
            <v>80.782532998166573</v>
          </cell>
          <cell r="Q314">
            <v>82.162194317100798</v>
          </cell>
          <cell r="R314">
            <v>83.850847803566708</v>
          </cell>
          <cell r="S314">
            <v>86.241168870959456</v>
          </cell>
          <cell r="T314">
            <v>89.174265789557651</v>
          </cell>
          <cell r="U314">
            <v>92.218213710464525</v>
          </cell>
        </row>
        <row r="315">
          <cell r="M315">
            <v>34.980245443958204</v>
          </cell>
          <cell r="N315">
            <v>34.860506317633401</v>
          </cell>
          <cell r="O315">
            <v>34.87968784236962</v>
          </cell>
          <cell r="P315">
            <v>34.680615847348406</v>
          </cell>
          <cell r="Q315">
            <v>34.370312575968065</v>
          </cell>
          <cell r="R315">
            <v>34.09223764927183</v>
          </cell>
          <cell r="S315">
            <v>33.987516893093968</v>
          </cell>
          <cell r="T315">
            <v>33.919496027392775</v>
          </cell>
          <cell r="U315">
            <v>33.777395086474776</v>
          </cell>
        </row>
        <row r="316">
          <cell r="M316">
            <v>264.11944119909469</v>
          </cell>
          <cell r="N316">
            <v>260.58868121499421</v>
          </cell>
          <cell r="O316">
            <v>256.73016532991164</v>
          </cell>
          <cell r="P316">
            <v>254.21482813096313</v>
          </cell>
          <cell r="Q316">
            <v>250.34026656212464</v>
          </cell>
          <cell r="R316">
            <v>247.37955895336387</v>
          </cell>
          <cell r="S316">
            <v>245.39085171264463</v>
          </cell>
          <cell r="T316">
            <v>244.01163056160951</v>
          </cell>
          <cell r="U316">
            <v>242.8084020290633</v>
          </cell>
        </row>
        <row r="317">
          <cell r="M317">
            <v>19.544024113784911</v>
          </cell>
          <cell r="N317">
            <v>19.135195507175101</v>
          </cell>
          <cell r="O317">
            <v>18.659287507947504</v>
          </cell>
          <cell r="P317">
            <v>18.247241588417648</v>
          </cell>
          <cell r="Q317">
            <v>17.79942016548156</v>
          </cell>
          <cell r="R317">
            <v>17.307428709359097</v>
          </cell>
          <cell r="S317">
            <v>16.919020267587602</v>
          </cell>
          <cell r="T317">
            <v>16.570394085911861</v>
          </cell>
          <cell r="U317">
            <v>16.286498656458797</v>
          </cell>
        </row>
        <row r="318">
          <cell r="M318">
            <v>370.08045194646076</v>
          </cell>
          <cell r="N318">
            <v>369.53785109023039</v>
          </cell>
          <cell r="O318">
            <v>369.0807364638103</v>
          </cell>
          <cell r="P318">
            <v>367.53763574030665</v>
          </cell>
          <cell r="Q318">
            <v>367.88763003286402</v>
          </cell>
          <cell r="R318">
            <v>366.78754668940564</v>
          </cell>
          <cell r="S318">
            <v>364.96545252584121</v>
          </cell>
          <cell r="T318">
            <v>363.10219075140651</v>
          </cell>
          <cell r="U318">
            <v>361.45330739298532</v>
          </cell>
        </row>
        <row r="319">
          <cell r="M319">
            <v>758.82290308591143</v>
          </cell>
          <cell r="N319">
            <v>756.2490289162472</v>
          </cell>
          <cell r="O319">
            <v>753.68132902587752</v>
          </cell>
          <cell r="P319">
            <v>752.97219455938068</v>
          </cell>
          <cell r="Q319">
            <v>751.55559032114638</v>
          </cell>
          <cell r="R319">
            <v>749.96096221627067</v>
          </cell>
          <cell r="S319">
            <v>748.69638554139124</v>
          </cell>
          <cell r="T319">
            <v>747.67459466225978</v>
          </cell>
          <cell r="U319">
            <v>746.78972925622293</v>
          </cell>
        </row>
        <row r="320">
          <cell r="M320">
            <v>194.44061635635086</v>
          </cell>
          <cell r="N320">
            <v>198.39728845858625</v>
          </cell>
          <cell r="O320">
            <v>202.59015723368347</v>
          </cell>
          <cell r="P320">
            <v>206.30187228140895</v>
          </cell>
          <cell r="Q320">
            <v>211.23896490772424</v>
          </cell>
          <cell r="R320">
            <v>214.52009750184291</v>
          </cell>
          <cell r="S320">
            <v>217.09403834372853</v>
          </cell>
          <cell r="T320">
            <v>219.5010033656531</v>
          </cell>
          <cell r="U320">
            <v>221.92971611759302</v>
          </cell>
        </row>
        <row r="321">
          <cell r="M321">
            <v>145.89291042824829</v>
          </cell>
          <cell r="N321">
            <v>144.63835343961154</v>
          </cell>
          <cell r="O321">
            <v>143.11706955320199</v>
          </cell>
          <cell r="P321">
            <v>141.80515698676717</v>
          </cell>
          <cell r="Q321">
            <v>139.89556622421679</v>
          </cell>
          <cell r="R321">
            <v>138.76254232936085</v>
          </cell>
          <cell r="S321">
            <v>137.81980539115034</v>
          </cell>
          <cell r="T321">
            <v>136.98454425675089</v>
          </cell>
          <cell r="U321">
            <v>136.26335600977819</v>
          </cell>
        </row>
        <row r="322">
          <cell r="M322">
            <v>55.885095710472093</v>
          </cell>
          <cell r="N322">
            <v>54.688165496073914</v>
          </cell>
          <cell r="O322">
            <v>53.520644257347882</v>
          </cell>
          <cell r="P322">
            <v>52.273875497308538</v>
          </cell>
          <cell r="Q322">
            <v>51.096850779673389</v>
          </cell>
          <cell r="R322">
            <v>49.67474366751383</v>
          </cell>
          <cell r="S322">
            <v>48.403750773613723</v>
          </cell>
          <cell r="T322">
            <v>47.314090376573205</v>
          </cell>
          <cell r="U322">
            <v>46.312171930167928</v>
          </cell>
        </row>
        <row r="323">
          <cell r="M323">
            <v>189.26713042725834</v>
          </cell>
          <cell r="N323">
            <v>192.17593910136881</v>
          </cell>
          <cell r="O323">
            <v>194.65764152614213</v>
          </cell>
          <cell r="P323">
            <v>196.57174126049131</v>
          </cell>
          <cell r="Q323">
            <v>198.14850020294668</v>
          </cell>
          <cell r="R323">
            <v>199.75392312941096</v>
          </cell>
          <cell r="S323">
            <v>201.47000309039802</v>
          </cell>
          <cell r="T323">
            <v>203.07978669439086</v>
          </cell>
          <cell r="U323">
            <v>204.5804549321584</v>
          </cell>
        </row>
        <row r="324">
          <cell r="M324">
            <v>608.47800626213495</v>
          </cell>
          <cell r="N324">
            <v>628.50149625320626</v>
          </cell>
          <cell r="O324">
            <v>645.89181840378433</v>
          </cell>
          <cell r="P324">
            <v>663.00116972739136</v>
          </cell>
          <cell r="Q324">
            <v>675.38570007731414</v>
          </cell>
          <cell r="R324">
            <v>692.36780073576813</v>
          </cell>
          <cell r="S324">
            <v>711.68659329579782</v>
          </cell>
          <cell r="T324">
            <v>730.93828499372387</v>
          </cell>
          <cell r="U324">
            <v>750.22745395939421</v>
          </cell>
        </row>
        <row r="325">
          <cell r="M325">
            <v>747.20991525367265</v>
          </cell>
          <cell r="N325">
            <v>759.99123973805274</v>
          </cell>
          <cell r="O325">
            <v>772.49909956253771</v>
          </cell>
          <cell r="P325">
            <v>783.92814649065554</v>
          </cell>
          <cell r="Q325">
            <v>796.06986080194667</v>
          </cell>
          <cell r="R325">
            <v>807.10935959661765</v>
          </cell>
          <cell r="S325">
            <v>818.05093762998922</v>
          </cell>
          <cell r="T325">
            <v>828.62547307526336</v>
          </cell>
          <cell r="U325">
            <v>838.93821426296881</v>
          </cell>
        </row>
        <row r="326">
          <cell r="M326">
            <v>407.55383255603698</v>
          </cell>
          <cell r="N326">
            <v>418.77484920626932</v>
          </cell>
          <cell r="O326">
            <v>430.3519636675465</v>
          </cell>
          <cell r="P326">
            <v>440.4401883294484</v>
          </cell>
          <cell r="Q326">
            <v>453.14961849192059</v>
          </cell>
          <cell r="R326">
            <v>462.53774571302694</v>
          </cell>
          <cell r="S326">
            <v>470.24182065939772</v>
          </cell>
          <cell r="T326">
            <v>477.16204036476756</v>
          </cell>
          <cell r="U326">
            <v>483.8231270158517</v>
          </cell>
        </row>
        <row r="328">
          <cell r="M328">
            <v>6.5229166156681098</v>
          </cell>
          <cell r="N328">
            <v>6.5418240300417541</v>
          </cell>
          <cell r="O328">
            <v>6.5877308200248246</v>
          </cell>
          <cell r="P328">
            <v>6.6378917554898536</v>
          </cell>
          <cell r="Q328">
            <v>6.7019594455173008</v>
          </cell>
          <cell r="R328">
            <v>6.7600919992022934</v>
          </cell>
          <cell r="S328">
            <v>6.8190855920476929</v>
          </cell>
          <cell r="T328">
            <v>6.8789292350355762</v>
          </cell>
          <cell r="U328">
            <v>6.9410104892485069</v>
          </cell>
        </row>
        <row r="329">
          <cell r="M329">
            <v>1.4944160295967153</v>
          </cell>
          <cell r="N329">
            <v>1.4725898731874909</v>
          </cell>
          <cell r="O329">
            <v>1.4850223412153265</v>
          </cell>
          <cell r="P329">
            <v>1.4946138077528273</v>
          </cell>
          <cell r="Q329">
            <v>1.5161868933745668</v>
          </cell>
          <cell r="R329">
            <v>1.5321008356051411</v>
          </cell>
          <cell r="S329">
            <v>1.5480888128074135</v>
          </cell>
          <cell r="T329">
            <v>1.5641461434999739</v>
          </cell>
          <cell r="U329">
            <v>1.5817974314233314</v>
          </cell>
        </row>
        <row r="330">
          <cell r="M330">
            <v>0.21214727877861106</v>
          </cell>
          <cell r="N330">
            <v>0.20946544566216418</v>
          </cell>
          <cell r="O330">
            <v>0.20763553527090942</v>
          </cell>
          <cell r="P330">
            <v>0.20606099856408147</v>
          </cell>
          <cell r="Q330">
            <v>0.20543591517441834</v>
          </cell>
          <cell r="R330">
            <v>0.20434693996810138</v>
          </cell>
          <cell r="S330">
            <v>0.20328237082411865</v>
          </cell>
          <cell r="T330">
            <v>0.20224427804761991</v>
          </cell>
          <cell r="U330">
            <v>0.20133416626602646</v>
          </cell>
        </row>
      </sheetData>
      <sheetData sheetId="7">
        <row r="985">
          <cell r="L985">
            <v>-96.492199999998093</v>
          </cell>
          <cell r="M985">
            <v>-98.637199999998529</v>
          </cell>
          <cell r="N985">
            <v>-101.75382999999647</v>
          </cell>
          <cell r="O985">
            <v>-105.22432999999614</v>
          </cell>
          <cell r="P985">
            <v>-109.76172999999699</v>
          </cell>
          <cell r="Q985">
            <v>-113.83992999999691</v>
          </cell>
          <cell r="R985">
            <v>-117.1284299999968</v>
          </cell>
          <cell r="S985">
            <v>-120.51322999999593</v>
          </cell>
          <cell r="T985">
            <v>-123.91212999999379</v>
          </cell>
        </row>
        <row r="988">
          <cell r="L988">
            <v>-6.8420000000027983</v>
          </cell>
          <cell r="M988">
            <v>-11.29479999998901</v>
          </cell>
          <cell r="N988">
            <v>-14.98862999999443</v>
          </cell>
          <cell r="O988">
            <v>-18.249129999980966</v>
          </cell>
          <cell r="P988">
            <v>-21.37962999999317</v>
          </cell>
          <cell r="Q988">
            <v>-25.22683000000805</v>
          </cell>
          <cell r="R988">
            <v>-26.913430000019815</v>
          </cell>
          <cell r="S988">
            <v>-28.542529999989824</v>
          </cell>
          <cell r="T988">
            <v>-30.060529999995708</v>
          </cell>
        </row>
      </sheetData>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14"/>
      <sheetName val="Summary"/>
      <sheetName val="2012-13"/>
      <sheetName val="2011-12"/>
      <sheetName val="2010-11"/>
      <sheetName val="2009-10"/>
      <sheetName val="2008-09"/>
      <sheetName val="2007-08"/>
      <sheetName val="2006-07"/>
      <sheetName val="2005-06"/>
      <sheetName val="2004-05"/>
      <sheetName val="2003-04"/>
      <sheetName val="2002-03"/>
    </sheetNames>
    <sheetDataSet>
      <sheetData sheetId="0" refreshError="1"/>
      <sheetData sheetId="1">
        <row r="24">
          <cell r="D24">
            <v>29.074572230000005</v>
          </cell>
          <cell r="E24">
            <v>28.230516259999998</v>
          </cell>
          <cell r="F24">
            <v>27.543308410000002</v>
          </cell>
          <cell r="G24">
            <v>33.28690288</v>
          </cell>
          <cell r="H24">
            <v>30.655527260000003</v>
          </cell>
          <cell r="I24">
            <v>31.366387439999997</v>
          </cell>
          <cell r="J24">
            <v>30.278414099999999</v>
          </cell>
          <cell r="K24">
            <v>24.665061419999997</v>
          </cell>
          <cell r="L24">
            <v>21.018241320000001</v>
          </cell>
          <cell r="M24">
            <v>31.794786719999998</v>
          </cell>
          <cell r="N24">
            <v>19.371156020000001</v>
          </cell>
        </row>
        <row r="25">
          <cell r="D25">
            <v>691.94963521</v>
          </cell>
          <cell r="E25">
            <v>746.11562810999999</v>
          </cell>
          <cell r="F25">
            <v>767.78392594000002</v>
          </cell>
          <cell r="G25">
            <v>730.74731278999991</v>
          </cell>
          <cell r="H25">
            <v>729.65273626999999</v>
          </cell>
          <cell r="I25">
            <v>819.45804607000002</v>
          </cell>
          <cell r="J25">
            <v>797.43446867</v>
          </cell>
          <cell r="K25">
            <v>827.91530949000003</v>
          </cell>
          <cell r="L25">
            <v>897.8360947000001</v>
          </cell>
          <cell r="M25">
            <v>889.19197401999998</v>
          </cell>
          <cell r="N25">
            <v>882.51119066999991</v>
          </cell>
        </row>
        <row r="26">
          <cell r="D26">
            <v>22.536751010000003</v>
          </cell>
          <cell r="E26">
            <v>24.259973619999993</v>
          </cell>
          <cell r="F26">
            <v>24.850541139999997</v>
          </cell>
          <cell r="G26">
            <v>23.947659620000003</v>
          </cell>
          <cell r="H26">
            <v>24.014774399999997</v>
          </cell>
          <cell r="I26">
            <v>26.693665890000002</v>
          </cell>
          <cell r="J26">
            <v>26.202406859999996</v>
          </cell>
          <cell r="K26">
            <v>26.938335209999998</v>
          </cell>
          <cell r="L26">
            <v>28.941688160000005</v>
          </cell>
          <cell r="M26">
            <v>29.043592860000004</v>
          </cell>
          <cell r="N26">
            <v>28.033347679999999</v>
          </cell>
        </row>
        <row r="29">
          <cell r="D29">
            <v>25.612580049999998</v>
          </cell>
          <cell r="E29">
            <v>24.20396315</v>
          </cell>
          <cell r="F29">
            <v>22.465068250000002</v>
          </cell>
          <cell r="G29">
            <v>24.108166600000001</v>
          </cell>
          <cell r="H29">
            <v>24.847388779999996</v>
          </cell>
          <cell r="I29">
            <v>17.528873100000002</v>
          </cell>
          <cell r="J29">
            <v>26.046745939999997</v>
          </cell>
          <cell r="K29">
            <v>22.195008110000003</v>
          </cell>
          <cell r="L29">
            <v>14.306697140000001</v>
          </cell>
          <cell r="M29">
            <v>25.717303360000002</v>
          </cell>
          <cell r="N29">
            <v>14.236857959999998</v>
          </cell>
        </row>
        <row r="30">
          <cell r="D30">
            <v>569.90501537</v>
          </cell>
          <cell r="E30">
            <v>606.05554486000005</v>
          </cell>
          <cell r="F30">
            <v>609.71845298000005</v>
          </cell>
          <cell r="G30">
            <v>581.98157033000007</v>
          </cell>
          <cell r="H30">
            <v>583.41430782000009</v>
          </cell>
          <cell r="I30">
            <v>517.90313176999996</v>
          </cell>
          <cell r="J30">
            <v>586.52264616000002</v>
          </cell>
          <cell r="K30">
            <v>602.60475111000005</v>
          </cell>
          <cell r="L30">
            <v>571.09760457000004</v>
          </cell>
          <cell r="M30">
            <v>507.57465941000004</v>
          </cell>
          <cell r="N30">
            <v>502.26799811000001</v>
          </cell>
        </row>
        <row r="31">
          <cell r="D31">
            <v>18.314219179999998</v>
          </cell>
          <cell r="E31">
            <v>19.42472763</v>
          </cell>
          <cell r="F31">
            <v>19.436552510000002</v>
          </cell>
          <cell r="G31">
            <v>18.658406369999998</v>
          </cell>
          <cell r="H31">
            <v>18.815949290000002</v>
          </cell>
          <cell r="I31">
            <v>16.562614680000003</v>
          </cell>
          <cell r="J31">
            <v>18.970548009999998</v>
          </cell>
          <cell r="K31">
            <v>19.352117459999999</v>
          </cell>
          <cell r="L31">
            <v>18.141072799999996</v>
          </cell>
          <cell r="M31">
            <v>16.582366799999999</v>
          </cell>
          <cell r="N31">
            <v>15.341639420000002</v>
          </cell>
        </row>
        <row r="34">
          <cell r="D34">
            <v>229.17196282</v>
          </cell>
          <cell r="E34">
            <v>230.19087109999998</v>
          </cell>
          <cell r="F34">
            <v>214.56581429000002</v>
          </cell>
          <cell r="G34">
            <v>227.72948743999999</v>
          </cell>
          <cell r="H34">
            <v>251.22984889</v>
          </cell>
          <cell r="I34">
            <v>199.1464708</v>
          </cell>
          <cell r="J34">
            <v>258.54317462</v>
          </cell>
          <cell r="K34">
            <v>171.37232354000002</v>
          </cell>
          <cell r="L34">
            <v>147.46807747999998</v>
          </cell>
          <cell r="M34">
            <v>204.02716719</v>
          </cell>
          <cell r="N34">
            <v>114.88386425</v>
          </cell>
        </row>
        <row r="35">
          <cell r="D35">
            <v>2883.4979902800001</v>
          </cell>
          <cell r="E35">
            <v>2969.3535703299999</v>
          </cell>
          <cell r="F35">
            <v>3052.78593675</v>
          </cell>
          <cell r="G35">
            <v>2949.7091319199999</v>
          </cell>
          <cell r="H35">
            <v>2988.5351430400001</v>
          </cell>
          <cell r="I35">
            <v>2815.2465637399996</v>
          </cell>
          <cell r="J35">
            <v>3065.8126347399998</v>
          </cell>
          <cell r="K35">
            <v>3165.2869358899998</v>
          </cell>
          <cell r="L35">
            <v>2912.00164258</v>
          </cell>
          <cell r="M35">
            <v>2623.8169183200002</v>
          </cell>
          <cell r="N35">
            <v>2653.3510500000002</v>
          </cell>
        </row>
        <row r="36">
          <cell r="D36">
            <v>94.261911710000007</v>
          </cell>
          <cell r="E36">
            <v>96.783409390000003</v>
          </cell>
          <cell r="F36">
            <v>98.934668039999991</v>
          </cell>
          <cell r="G36">
            <v>96.167207939999997</v>
          </cell>
          <cell r="H36">
            <v>97.812875829999996</v>
          </cell>
          <cell r="I36">
            <v>91.66790039</v>
          </cell>
          <cell r="J36">
            <v>99.597357759999994</v>
          </cell>
          <cell r="K36">
            <v>101.98709945000002</v>
          </cell>
          <cell r="L36">
            <v>93.637295829999999</v>
          </cell>
          <cell r="M36">
            <v>86.971326210000015</v>
          </cell>
          <cell r="N36">
            <v>81.181284849999997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
      <sheetName val="Parim. Tax by Source"/>
      <sheetName val="Sheet3"/>
    </sheetNames>
    <sheetDataSet>
      <sheetData sheetId="0">
        <row r="35">
          <cell r="B35">
            <v>17.96325886</v>
          </cell>
        </row>
      </sheetData>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013-14"/>
      <sheetName val="2012-13"/>
      <sheetName val="2011-12"/>
      <sheetName val="2010-11"/>
      <sheetName val="2009-10"/>
      <sheetName val="2008-09"/>
      <sheetName val="2007-08"/>
      <sheetName val="2006-07"/>
      <sheetName val="2005-06"/>
      <sheetName val="2004-05"/>
      <sheetName val="2003-04"/>
      <sheetName val="2002-03"/>
    </sheetNames>
    <sheetDataSet>
      <sheetData sheetId="0">
        <row r="14">
          <cell r="P14">
            <v>832.99251699000001</v>
          </cell>
        </row>
        <row r="15">
          <cell r="P15">
            <v>26.025707269999998</v>
          </cell>
        </row>
        <row r="16">
          <cell r="E16">
            <v>117.93077268</v>
          </cell>
          <cell r="F16">
            <v>126.94806695</v>
          </cell>
          <cell r="G16">
            <v>130.03835169000001</v>
          </cell>
          <cell r="H16">
            <v>125.31370276999999</v>
          </cell>
          <cell r="I16">
            <v>125.66493480000004</v>
          </cell>
          <cell r="J16">
            <v>139.68297189999998</v>
          </cell>
          <cell r="K16">
            <v>137.11230516999998</v>
          </cell>
          <cell r="L16">
            <v>140.96324787</v>
          </cell>
          <cell r="M16">
            <v>151.44640735999999</v>
          </cell>
          <cell r="N16">
            <v>152.07454423000004</v>
          </cell>
          <cell r="O16">
            <v>148.98543532000002</v>
          </cell>
          <cell r="P16">
            <v>140.53800358999993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
      <sheetName val="Parim. Tax by Source"/>
    </sheetNames>
    <sheetDataSet>
      <sheetData sheetId="0">
        <row r="4">
          <cell r="D4">
            <v>81.061350189999999</v>
          </cell>
        </row>
        <row r="15">
          <cell r="D15">
            <v>0.99031563</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1.Disclaimer"/>
      <sheetName val="2.Summary"/>
      <sheetName val="3.Macro"/>
      <sheetName val="4.IGVA"/>
      <sheetName val="5.Employ"/>
      <sheetName val="6.TaxRev"/>
      <sheetName val="7.Figures"/>
      <sheetName val="base"/>
      <sheetName val="policy"/>
      <sheetName val="dev"/>
      <sheetName val="definition"/>
    </sheetNames>
    <sheetDataSet>
      <sheetData sheetId="0" refreshError="1"/>
      <sheetData sheetId="1" refreshError="1"/>
      <sheetData sheetId="2" refreshError="1"/>
      <sheetData sheetId="3" refreshError="1"/>
      <sheetData sheetId="4" refreshError="1">
        <row r="14">
          <cell r="O14">
            <v>471354</v>
          </cell>
        </row>
      </sheetData>
      <sheetData sheetId="5" refreshError="1">
        <row r="137">
          <cell r="D137">
            <v>499.10864900000001</v>
          </cell>
          <cell r="E137">
            <v>509.21717859999995</v>
          </cell>
          <cell r="F137">
            <v>522.09740179999994</v>
          </cell>
          <cell r="G137">
            <v>534.40698220000002</v>
          </cell>
          <cell r="H137">
            <v>517.858341</v>
          </cell>
          <cell r="I137">
            <v>510.27694380000008</v>
          </cell>
          <cell r="J137">
            <v>521.85284060000004</v>
          </cell>
          <cell r="K137">
            <v>535.62445878550784</v>
          </cell>
        </row>
        <row r="138">
          <cell r="D138">
            <v>85.851413777302582</v>
          </cell>
          <cell r="E138">
            <v>87.590176587982114</v>
          </cell>
          <cell r="F138">
            <v>89.805696943525405</v>
          </cell>
          <cell r="G138">
            <v>91.92306133394969</v>
          </cell>
          <cell r="H138">
            <v>89.076538345498491</v>
          </cell>
          <cell r="I138">
            <v>87.772466237488842</v>
          </cell>
          <cell r="J138">
            <v>89.763630101331529</v>
          </cell>
          <cell r="K138">
            <v>92.132478835161123</v>
          </cell>
        </row>
        <row r="139">
          <cell r="D139">
            <v>12</v>
          </cell>
          <cell r="E139">
            <v>12.243037974683542</v>
          </cell>
          <cell r="F139">
            <v>12.55271539403838</v>
          </cell>
          <cell r="G139">
            <v>12.8486729277256</v>
          </cell>
          <cell r="H139">
            <v>12.450796243364636</v>
          </cell>
          <cell r="I139">
            <v>12.26851776235198</v>
          </cell>
          <cell r="J139">
            <v>12.546835443037972</v>
          </cell>
          <cell r="K139">
            <v>12.877944548354424</v>
          </cell>
        </row>
        <row r="313">
          <cell r="D313">
            <v>5478</v>
          </cell>
          <cell r="E313">
            <v>4483</v>
          </cell>
          <cell r="F313">
            <v>3972</v>
          </cell>
          <cell r="G313">
            <v>5560</v>
          </cell>
          <cell r="H313">
            <v>5262</v>
          </cell>
          <cell r="I313">
            <v>6963</v>
          </cell>
          <cell r="J313">
            <v>6667</v>
          </cell>
          <cell r="K313">
            <v>6693</v>
          </cell>
        </row>
        <row r="314">
          <cell r="D314">
            <v>9599</v>
          </cell>
          <cell r="E314">
            <v>10482</v>
          </cell>
          <cell r="F314">
            <v>10312</v>
          </cell>
          <cell r="G314">
            <v>10494</v>
          </cell>
          <cell r="H314">
            <v>11337</v>
          </cell>
          <cell r="I314">
            <v>12652</v>
          </cell>
          <cell r="J314">
            <v>13949</v>
          </cell>
          <cell r="K314">
            <v>14798</v>
          </cell>
        </row>
        <row r="315">
          <cell r="D315">
            <v>34875</v>
          </cell>
          <cell r="E315">
            <v>34573</v>
          </cell>
          <cell r="F315">
            <v>37084</v>
          </cell>
          <cell r="G315">
            <v>35740</v>
          </cell>
          <cell r="H315">
            <v>35847</v>
          </cell>
          <cell r="I315">
            <v>36175</v>
          </cell>
          <cell r="J315">
            <v>35225</v>
          </cell>
          <cell r="K315">
            <v>34383</v>
          </cell>
        </row>
        <row r="316">
          <cell r="D316">
            <v>12213</v>
          </cell>
          <cell r="E316">
            <v>11878</v>
          </cell>
          <cell r="F316">
            <v>11865</v>
          </cell>
          <cell r="G316">
            <v>12198</v>
          </cell>
          <cell r="H316">
            <v>12403</v>
          </cell>
          <cell r="I316">
            <v>12429</v>
          </cell>
          <cell r="J316">
            <v>12099</v>
          </cell>
          <cell r="K316">
            <v>12067</v>
          </cell>
        </row>
        <row r="317">
          <cell r="D317">
            <v>18711</v>
          </cell>
          <cell r="E317">
            <v>19628</v>
          </cell>
          <cell r="F317">
            <v>21161</v>
          </cell>
          <cell r="G317">
            <v>21786</v>
          </cell>
          <cell r="H317">
            <v>22057</v>
          </cell>
          <cell r="I317">
            <v>22384</v>
          </cell>
          <cell r="J317">
            <v>24246</v>
          </cell>
          <cell r="K317">
            <v>24663</v>
          </cell>
        </row>
        <row r="318">
          <cell r="D318">
            <v>33633</v>
          </cell>
          <cell r="E318">
            <v>34512</v>
          </cell>
          <cell r="F318">
            <v>35805</v>
          </cell>
          <cell r="G318">
            <v>35731</v>
          </cell>
          <cell r="H318">
            <v>37082</v>
          </cell>
          <cell r="I318">
            <v>38106</v>
          </cell>
          <cell r="J318">
            <v>39330</v>
          </cell>
          <cell r="K318">
            <v>40715</v>
          </cell>
        </row>
        <row r="319">
          <cell r="D319">
            <v>12263</v>
          </cell>
          <cell r="E319">
            <v>12759</v>
          </cell>
          <cell r="F319">
            <v>12616</v>
          </cell>
          <cell r="G319">
            <v>11941</v>
          </cell>
          <cell r="H319">
            <v>12367</v>
          </cell>
          <cell r="I319">
            <v>12823</v>
          </cell>
          <cell r="J319">
            <v>13036</v>
          </cell>
          <cell r="K319">
            <v>12929</v>
          </cell>
        </row>
        <row r="320">
          <cell r="D320">
            <v>17728</v>
          </cell>
          <cell r="E320">
            <v>18966</v>
          </cell>
          <cell r="F320">
            <v>19882</v>
          </cell>
          <cell r="G320">
            <v>18973</v>
          </cell>
          <cell r="H320">
            <v>20089</v>
          </cell>
          <cell r="I320">
            <v>21149</v>
          </cell>
          <cell r="J320">
            <v>21966</v>
          </cell>
          <cell r="K320">
            <v>22517</v>
          </cell>
        </row>
        <row r="321">
          <cell r="D321">
            <v>15751</v>
          </cell>
          <cell r="E321">
            <v>16711</v>
          </cell>
          <cell r="F321">
            <v>17692</v>
          </cell>
          <cell r="G321">
            <v>17561</v>
          </cell>
          <cell r="H321">
            <v>18188</v>
          </cell>
          <cell r="I321">
            <v>18687</v>
          </cell>
          <cell r="J321">
            <v>18766</v>
          </cell>
          <cell r="K321">
            <v>18371</v>
          </cell>
        </row>
        <row r="322">
          <cell r="D322">
            <v>43856</v>
          </cell>
          <cell r="E322">
            <v>47244</v>
          </cell>
          <cell r="F322">
            <v>50206</v>
          </cell>
          <cell r="G322">
            <v>50436</v>
          </cell>
          <cell r="H322">
            <v>49993</v>
          </cell>
          <cell r="I322">
            <v>49811</v>
          </cell>
          <cell r="J322">
            <v>52219</v>
          </cell>
          <cell r="K322">
            <v>54302</v>
          </cell>
        </row>
        <row r="323">
          <cell r="D323">
            <v>61910</v>
          </cell>
          <cell r="E323">
            <v>59325</v>
          </cell>
          <cell r="F323">
            <v>58174</v>
          </cell>
          <cell r="G323">
            <v>58992</v>
          </cell>
          <cell r="H323">
            <v>60286</v>
          </cell>
          <cell r="I323">
            <v>61986</v>
          </cell>
          <cell r="J323">
            <v>63652</v>
          </cell>
          <cell r="K323">
            <v>65612</v>
          </cell>
        </row>
        <row r="324">
          <cell r="D324">
            <v>61441</v>
          </cell>
          <cell r="E324">
            <v>63408</v>
          </cell>
          <cell r="F324">
            <v>64998</v>
          </cell>
          <cell r="G324">
            <v>68129</v>
          </cell>
          <cell r="H324">
            <v>70158</v>
          </cell>
          <cell r="I324">
            <v>71326</v>
          </cell>
          <cell r="J324">
            <v>72925</v>
          </cell>
          <cell r="K324">
            <v>75252</v>
          </cell>
        </row>
        <row r="325">
          <cell r="D325">
            <v>12281.039937222697</v>
          </cell>
          <cell r="E325">
            <v>12268.949606837334</v>
          </cell>
          <cell r="F325">
            <v>12253.544185862436</v>
          </cell>
          <cell r="G325">
            <v>12238.821283538324</v>
          </cell>
          <cell r="H325">
            <v>12258.614324411137</v>
          </cell>
          <cell r="I325">
            <v>12267.682072200159</v>
          </cell>
          <cell r="J325">
            <v>12253.83669385563</v>
          </cell>
          <cell r="K325">
            <v>12237.365117830977</v>
          </cell>
        </row>
        <row r="326">
          <cell r="D326">
            <v>39607</v>
          </cell>
          <cell r="E326">
            <v>40093</v>
          </cell>
          <cell r="F326">
            <v>40681</v>
          </cell>
          <cell r="G326">
            <v>41550</v>
          </cell>
          <cell r="H326">
            <v>41748</v>
          </cell>
          <cell r="I326">
            <v>42323</v>
          </cell>
          <cell r="J326">
            <v>42710</v>
          </cell>
          <cell r="K326">
            <v>43526</v>
          </cell>
        </row>
        <row r="333">
          <cell r="D333">
            <v>409577</v>
          </cell>
          <cell r="E333">
            <v>417751</v>
          </cell>
          <cell r="F333">
            <v>429129</v>
          </cell>
          <cell r="G333">
            <v>433894</v>
          </cell>
          <cell r="H333">
            <v>441855</v>
          </cell>
          <cell r="I333">
            <v>452128</v>
          </cell>
          <cell r="J333">
            <v>462831</v>
          </cell>
          <cell r="K333">
            <v>471354</v>
          </cell>
        </row>
      </sheetData>
      <sheetData sheetId="6" refreshError="1">
        <row r="273">
          <cell r="D273">
            <v>99.390936999999994</v>
          </cell>
          <cell r="E273">
            <v>96.732798191776013</v>
          </cell>
          <cell r="F273">
            <v>93.976447515192675</v>
          </cell>
          <cell r="G273">
            <v>92.947662604143432</v>
          </cell>
          <cell r="H273">
            <v>90.264058707661121</v>
          </cell>
          <cell r="I273">
            <v>76.530651638841235</v>
          </cell>
          <cell r="J273">
            <v>77.575554994389364</v>
          </cell>
          <cell r="K273">
            <v>76.044698456128245</v>
          </cell>
        </row>
        <row r="274">
          <cell r="D274">
            <v>20.825158999999999</v>
          </cell>
          <cell r="E274">
            <v>21.356666341359801</v>
          </cell>
          <cell r="F274">
            <v>24.42872171117012</v>
          </cell>
          <cell r="G274">
            <v>30.114391449374633</v>
          </cell>
          <cell r="H274">
            <v>28.076384752296438</v>
          </cell>
          <cell r="I274">
            <v>31.412325423561843</v>
          </cell>
          <cell r="J274">
            <v>34.37326020535054</v>
          </cell>
          <cell r="K274">
            <v>33.733199179808622</v>
          </cell>
        </row>
        <row r="275">
          <cell r="D275">
            <v>331.68572200000006</v>
          </cell>
          <cell r="E275">
            <v>327.24936635051506</v>
          </cell>
          <cell r="F275">
            <v>310.29523757265605</v>
          </cell>
          <cell r="G275">
            <v>309.4062764931162</v>
          </cell>
          <cell r="H275">
            <v>310.60495389152771</v>
          </cell>
          <cell r="I275">
            <v>300.26652092425746</v>
          </cell>
          <cell r="J275">
            <v>287.36089990019684</v>
          </cell>
          <cell r="K275">
            <v>272.98912219672985</v>
          </cell>
        </row>
        <row r="276">
          <cell r="D276">
            <v>25.836715000000002</v>
          </cell>
          <cell r="E276">
            <v>23.446074418330703</v>
          </cell>
          <cell r="F276">
            <v>22.969633898977889</v>
          </cell>
          <cell r="G276">
            <v>23.186577316803234</v>
          </cell>
          <cell r="H276">
            <v>22.71624656520266</v>
          </cell>
          <cell r="I276">
            <v>22.16317020617188</v>
          </cell>
          <cell r="J276">
            <v>21.070028200603335</v>
          </cell>
          <cell r="K276">
            <v>20.385358001381576</v>
          </cell>
        </row>
        <row r="277">
          <cell r="D277">
            <v>278.89520299999998</v>
          </cell>
          <cell r="E277">
            <v>275.01443202929556</v>
          </cell>
          <cell r="F277">
            <v>301.17820503483466</v>
          </cell>
          <cell r="G277">
            <v>298.52894817810471</v>
          </cell>
          <cell r="H277">
            <v>300.72287921231839</v>
          </cell>
          <cell r="I277">
            <v>310.92968438337573</v>
          </cell>
          <cell r="J277">
            <v>337.32111615712068</v>
          </cell>
          <cell r="K277">
            <v>371.15071357540216</v>
          </cell>
        </row>
        <row r="278">
          <cell r="D278">
            <v>646.942993</v>
          </cell>
          <cell r="E278">
            <v>672.32502499876341</v>
          </cell>
          <cell r="F278">
            <v>702.82431020030469</v>
          </cell>
          <cell r="G278">
            <v>694.832284121724</v>
          </cell>
          <cell r="H278">
            <v>709.04000621775981</v>
          </cell>
          <cell r="I278">
            <v>741.1011645069126</v>
          </cell>
          <cell r="J278">
            <v>748.25090093643473</v>
          </cell>
          <cell r="K278">
            <v>754.12184960288914</v>
          </cell>
        </row>
        <row r="279">
          <cell r="D279">
            <v>172.43270899999999</v>
          </cell>
          <cell r="E279">
            <v>178.2208439593575</v>
          </cell>
          <cell r="F279">
            <v>179.47045901107137</v>
          </cell>
          <cell r="G279">
            <v>183.51120050161384</v>
          </cell>
          <cell r="H279">
            <v>185.88379846177915</v>
          </cell>
          <cell r="I279">
            <v>185.23274789301871</v>
          </cell>
          <cell r="J279">
            <v>184.69351684062735</v>
          </cell>
          <cell r="K279">
            <v>186.78995448093363</v>
          </cell>
        </row>
        <row r="280">
          <cell r="D280">
            <v>161.29248999999999</v>
          </cell>
          <cell r="E280">
            <v>160.29168314349221</v>
          </cell>
          <cell r="F280">
            <v>150.15750549559425</v>
          </cell>
          <cell r="G280">
            <v>162.39054307314186</v>
          </cell>
          <cell r="H280">
            <v>165.61807420370127</v>
          </cell>
          <cell r="I280">
            <v>157.20499500608139</v>
          </cell>
          <cell r="J280">
            <v>151.85923614250669</v>
          </cell>
          <cell r="K280">
            <v>147.51270586176</v>
          </cell>
        </row>
        <row r="281">
          <cell r="D281">
            <v>67.251320000000007</v>
          </cell>
          <cell r="E281">
            <v>68.012356112516017</v>
          </cell>
          <cell r="F281">
            <v>67.490942104873653</v>
          </cell>
          <cell r="G281">
            <v>64.171312379220709</v>
          </cell>
          <cell r="H281">
            <v>61.805778125247976</v>
          </cell>
          <cell r="I281">
            <v>60.365357382572192</v>
          </cell>
          <cell r="J281">
            <v>59.541080500584648</v>
          </cell>
          <cell r="K281">
            <v>58.255493306848223</v>
          </cell>
        </row>
        <row r="282">
          <cell r="D282">
            <v>170.69044500000001</v>
          </cell>
          <cell r="E282">
            <v>174.3669294258105</v>
          </cell>
          <cell r="F282">
            <v>177.21727074774833</v>
          </cell>
          <cell r="G282">
            <v>178.39784435680673</v>
          </cell>
          <cell r="H282">
            <v>177.9039534926618</v>
          </cell>
          <cell r="I282">
            <v>178.4102823766182</v>
          </cell>
          <cell r="J282">
            <v>180.66069615543213</v>
          </cell>
          <cell r="K282">
            <v>182.61284337380928</v>
          </cell>
        </row>
        <row r="283">
          <cell r="D283">
            <v>423.04443400000002</v>
          </cell>
          <cell r="E283">
            <v>449.89464118154604</v>
          </cell>
          <cell r="F283">
            <v>469.51675096721499</v>
          </cell>
          <cell r="G283">
            <v>489.88767424142958</v>
          </cell>
          <cell r="H283">
            <v>502.81468322301009</v>
          </cell>
          <cell r="I283">
            <v>524.9227409037693</v>
          </cell>
          <cell r="J283">
            <v>546.89070511831801</v>
          </cell>
          <cell r="K283">
            <v>568.95927636381646</v>
          </cell>
        </row>
        <row r="284">
          <cell r="D284">
            <v>622.01831100000004</v>
          </cell>
          <cell r="E284">
            <v>637.9683533379864</v>
          </cell>
          <cell r="F284">
            <v>648.8073718643634</v>
          </cell>
          <cell r="G284">
            <v>676.0125786547452</v>
          </cell>
          <cell r="H284">
            <v>688.24955554977987</v>
          </cell>
          <cell r="I284">
            <v>714.36064248804962</v>
          </cell>
          <cell r="J284">
            <v>720.18543915640714</v>
          </cell>
          <cell r="K284">
            <v>716.91410482685501</v>
          </cell>
        </row>
        <row r="285">
          <cell r="D285">
            <v>310.99814769966929</v>
          </cell>
          <cell r="E285">
            <v>325.37042949857323</v>
          </cell>
          <cell r="F285">
            <v>338.55948254351267</v>
          </cell>
          <cell r="G285">
            <v>350.29998056726015</v>
          </cell>
          <cell r="H285">
            <v>360.34115436023041</v>
          </cell>
          <cell r="I285">
            <v>373.63781502435381</v>
          </cell>
          <cell r="J285">
            <v>377.8590629671545</v>
          </cell>
          <cell r="K285">
            <v>379.70883147287196</v>
          </cell>
        </row>
        <row r="287">
          <cell r="D287">
            <v>4.159250000000001</v>
          </cell>
          <cell r="E287">
            <v>4.2434879746835446</v>
          </cell>
          <cell r="F287">
            <v>4.3508234585545118</v>
          </cell>
          <cell r="G287">
            <v>4.4534035728868924</v>
          </cell>
          <cell r="H287">
            <v>4.3154978562678634</v>
          </cell>
          <cell r="I287">
            <v>4.2523193752552055</v>
          </cell>
          <cell r="J287">
            <v>4.3487854430379729</v>
          </cell>
          <cell r="K287">
            <v>4.4635492385619271</v>
          </cell>
        </row>
        <row r="288">
          <cell r="D288">
            <v>0.71542844814418827</v>
          </cell>
          <cell r="E288">
            <v>0.72991813823318441</v>
          </cell>
          <cell r="F288">
            <v>0.74838080786271177</v>
          </cell>
          <cell r="G288">
            <v>0.7660255111162475</v>
          </cell>
          <cell r="H288">
            <v>0.74230448621248746</v>
          </cell>
          <cell r="I288">
            <v>0.73143721864574041</v>
          </cell>
          <cell r="J288">
            <v>0.74803025084442953</v>
          </cell>
          <cell r="K288">
            <v>0.76777065695967617</v>
          </cell>
        </row>
        <row r="289">
          <cell r="D289">
            <v>0.10178285218649687</v>
          </cell>
          <cell r="E289">
            <v>0.10384427704090692</v>
          </cell>
          <cell r="F289">
            <v>0.10647093129088102</v>
          </cell>
          <cell r="G289">
            <v>0.10898121478294488</v>
          </cell>
          <cell r="H289">
            <v>0.10560646280354775</v>
          </cell>
          <cell r="I289">
            <v>0.10406039416274022</v>
          </cell>
          <cell r="J289">
            <v>0.10642105810891947</v>
          </cell>
          <cell r="K289">
            <v>0.10922949386925511</v>
          </cell>
        </row>
      </sheetData>
      <sheetData sheetId="7" refreshError="1"/>
      <sheetData sheetId="8" refreshError="1"/>
      <sheetData sheetId="9" refreshError="1"/>
      <sheetData sheetId="10" refreshError="1"/>
      <sheetData sheetId="11" refreshError="1"/>
      <sheetData sheetId="12" refreshError="1">
        <row r="144">
          <cell r="B144">
            <v>1637.6744755311063</v>
          </cell>
        </row>
        <row r="145">
          <cell r="B145">
            <v>1324.7287296092552</v>
          </cell>
        </row>
        <row r="146">
          <cell r="B146">
            <v>264.94574592185103</v>
          </cell>
        </row>
        <row r="147">
          <cell r="B147">
            <v>48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8" Type="http://schemas.openxmlformats.org/officeDocument/2006/relationships/drawing" Target="../drawings/drawing17.xml"/><Relationship Id="rId3" Type="http://schemas.openxmlformats.org/officeDocument/2006/relationships/hyperlink" Target="http://www.ausstats.abs.gov.au/AUSSTATS/ABS@.NSF/Product+Lookup/1292.0~2006%20(Revision%202.0)~Chapter~Class+0191++Horse+Farming" TargetMode="External"/><Relationship Id="rId7" Type="http://schemas.openxmlformats.org/officeDocument/2006/relationships/hyperlink" Target="http://www.ausstats.abs.gov.au/AUSSTATS/ABS@.NSF/Product+Lookup/1292.0~2006%20(Revision%202.0)~Chapter~Class+9121++Horse+and+Dog+Racing+Administration+and+Track+Operation" TargetMode="External"/><Relationship Id="rId2" Type="http://schemas.openxmlformats.org/officeDocument/2006/relationships/hyperlink" Target="http://www.ausstats.abs.gov.au/AUSSTATS/ABS@.NSF/Product+Lookup/1292.0~2006%20(Revision%202.0)~Chapter~Class+0191++Horse+Farming" TargetMode="External"/><Relationship Id="rId1" Type="http://schemas.openxmlformats.org/officeDocument/2006/relationships/hyperlink" Target="http://www.ausstats.abs.gov.au/AUSSTATS/ABS@.NSF/Product+Lookup/1292.0~2006%20(Revision%202.0)~Chapter~Class+0191++Horse+Farming" TargetMode="External"/><Relationship Id="rId6" Type="http://schemas.openxmlformats.org/officeDocument/2006/relationships/hyperlink" Target="http://www.ausstats.abs.gov.au/AUSSTATS/ABS@.NSF/Product+Lookup/1292.0~2006%20(Revision%202.0)~Chapter~Class+9121++Horse+and+Dog+Racing+Administration+and+Track+Operation" TargetMode="External"/><Relationship Id="rId5" Type="http://schemas.openxmlformats.org/officeDocument/2006/relationships/hyperlink" Target="http://www.ausstats.abs.gov.au/AUSSTATS/ABS@.NSF/Product+Lookup/1292.0~2006%20(Revision%202.0)~Chapter~Class+9121++Horse+and+Dog+Racing+Administration+and+Track+Operation" TargetMode="External"/><Relationship Id="rId10" Type="http://schemas.openxmlformats.org/officeDocument/2006/relationships/comments" Target="../comments5.xml"/><Relationship Id="rId4" Type="http://schemas.openxmlformats.org/officeDocument/2006/relationships/hyperlink" Target="http://www.ausstats.abs.gov.au/AUSSTATS/ABS@.NSF/Product+Lookup/1292.0~2006%20(Revision%202.0)~Chapter~Class+9209++Other+Gambling+Activities" TargetMode="External"/><Relationship Id="rId9"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D27"/>
  <sheetViews>
    <sheetView workbookViewId="0">
      <selection activeCell="Q22" sqref="Q22:Q23"/>
    </sheetView>
  </sheetViews>
  <sheetFormatPr defaultRowHeight="15" x14ac:dyDescent="0.25"/>
  <cols>
    <col min="1" max="2" width="1.7109375" style="2" customWidth="1"/>
    <col min="3" max="3" width="9.28515625" style="2" customWidth="1"/>
    <col min="4" max="4" width="7.85546875" style="2" customWidth="1"/>
    <col min="5" max="16384" width="9.140625" style="2"/>
  </cols>
  <sheetData>
    <row r="13" ht="15" customHeight="1" x14ac:dyDescent="0.25"/>
    <row r="16" ht="15" customHeight="1" x14ac:dyDescent="0.25"/>
    <row r="17" spans="2:4" ht="15" customHeight="1" x14ac:dyDescent="0.25"/>
    <row r="19" spans="2:4" s="398" customFormat="1" ht="15" customHeight="1" x14ac:dyDescent="0.25">
      <c r="B19" s="396"/>
      <c r="C19" s="397"/>
      <c r="D19" s="397"/>
    </row>
    <row r="20" spans="2:4" s="398" customFormat="1" x14ac:dyDescent="0.25">
      <c r="C20" s="666" t="s">
        <v>356</v>
      </c>
      <c r="D20" s="666"/>
    </row>
    <row r="21" spans="2:4" s="398" customFormat="1" x14ac:dyDescent="0.25">
      <c r="C21" s="667"/>
      <c r="D21" s="667"/>
    </row>
    <row r="22" spans="2:4" s="398" customFormat="1" x14ac:dyDescent="0.25">
      <c r="C22" s="667"/>
      <c r="D22" s="667"/>
    </row>
    <row r="23" spans="2:4" s="398" customFormat="1" x14ac:dyDescent="0.25">
      <c r="C23" s="667"/>
      <c r="D23" s="667"/>
    </row>
    <row r="24" spans="2:4" s="398" customFormat="1" x14ac:dyDescent="0.25">
      <c r="C24" s="399">
        <v>41883</v>
      </c>
      <c r="D24" s="400"/>
    </row>
    <row r="25" spans="2:4" x14ac:dyDescent="0.25">
      <c r="C25" s="401"/>
      <c r="D25" s="401"/>
    </row>
    <row r="26" spans="2:4" x14ac:dyDescent="0.25">
      <c r="C26" s="113"/>
      <c r="D26" s="113"/>
    </row>
    <row r="27" spans="2:4" x14ac:dyDescent="0.25">
      <c r="D27" s="113"/>
    </row>
  </sheetData>
  <mergeCells count="2">
    <mergeCell ref="C20:D20"/>
    <mergeCell ref="C21:D2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B7:AC178"/>
  <sheetViews>
    <sheetView topLeftCell="A8" workbookViewId="0">
      <selection activeCell="B8" sqref="B8"/>
    </sheetView>
  </sheetViews>
  <sheetFormatPr defaultRowHeight="15" x14ac:dyDescent="0.25"/>
  <cols>
    <col min="1" max="1" width="1.28515625" style="2" customWidth="1"/>
    <col min="2" max="2" width="42.28515625" style="2" customWidth="1"/>
    <col min="3" max="3" width="22.140625" style="2" customWidth="1"/>
    <col min="4" max="13" width="9.140625" style="2" hidden="1" customWidth="1"/>
    <col min="14" max="14" width="9.140625" style="2" customWidth="1"/>
    <col min="15" max="15" width="11.28515625" style="2" customWidth="1"/>
    <col min="16" max="16" width="12.140625" style="2" customWidth="1"/>
    <col min="17" max="24" width="11.42578125" style="2" bestFit="1" customWidth="1"/>
    <col min="25" max="25" width="4.42578125" style="2" customWidth="1"/>
    <col min="26" max="16384" width="9.140625" style="2"/>
  </cols>
  <sheetData>
    <row r="7" spans="2:24" ht="20.25" x14ac:dyDescent="0.3">
      <c r="B7" s="1" t="str">
        <f>Index!B7</f>
        <v>Economic effects of fiscal support for the NSW GREYHOUND racing industry: DRAFT</v>
      </c>
      <c r="C7" s="1"/>
    </row>
    <row r="8" spans="2:24" ht="21" customHeight="1" x14ac:dyDescent="0.25">
      <c r="B8" s="3" t="s">
        <v>329</v>
      </c>
    </row>
    <row r="9" spans="2:24" ht="18" x14ac:dyDescent="0.25">
      <c r="C9" s="3"/>
    </row>
    <row r="10" spans="2:24" x14ac:dyDescent="0.25">
      <c r="M10" s="7"/>
      <c r="N10" s="7"/>
      <c r="O10" s="7"/>
      <c r="P10" s="7"/>
      <c r="Q10" s="7"/>
      <c r="R10" s="7"/>
      <c r="S10" s="7"/>
      <c r="T10" s="7"/>
      <c r="U10" s="7"/>
      <c r="V10" s="7"/>
      <c r="W10" s="7"/>
      <c r="X10" s="7"/>
    </row>
    <row r="11" spans="2:24" s="7" customFormat="1" ht="16.5" customHeight="1" x14ac:dyDescent="0.25">
      <c r="C11" s="35"/>
      <c r="D11" s="40"/>
      <c r="E11" s="40"/>
      <c r="F11" s="40"/>
      <c r="G11" s="40"/>
      <c r="H11" s="40"/>
      <c r="I11" s="40"/>
      <c r="J11" s="40"/>
      <c r="K11" s="40"/>
      <c r="L11" s="40"/>
      <c r="M11" s="40"/>
      <c r="P11" s="97"/>
      <c r="Q11" s="41"/>
      <c r="R11" s="41"/>
      <c r="S11" s="41"/>
      <c r="T11" s="41"/>
      <c r="U11" s="41"/>
      <c r="V11" s="41"/>
      <c r="W11" s="41"/>
      <c r="X11" s="41"/>
    </row>
    <row r="12" spans="2:24" s="7" customFormat="1" ht="16.5" customHeight="1" x14ac:dyDescent="0.25">
      <c r="B12" s="54" t="s">
        <v>240</v>
      </c>
      <c r="C12" s="35"/>
      <c r="D12" s="40"/>
      <c r="E12" s="40"/>
      <c r="F12" s="40"/>
      <c r="G12" s="40"/>
      <c r="H12" s="40"/>
      <c r="I12" s="40"/>
      <c r="J12" s="40"/>
      <c r="K12" s="40"/>
      <c r="L12" s="37"/>
      <c r="M12" s="37"/>
      <c r="N12" s="12"/>
      <c r="O12" s="12"/>
      <c r="P12" s="172"/>
      <c r="Q12" s="95"/>
      <c r="R12" s="95"/>
      <c r="S12" s="95"/>
      <c r="T12" s="95"/>
      <c r="U12" s="95"/>
      <c r="V12" s="95"/>
      <c r="W12" s="95"/>
      <c r="X12" s="95"/>
    </row>
    <row r="13" spans="2:24" ht="16.5" customHeight="1" x14ac:dyDescent="0.25">
      <c r="B13" s="31" t="s">
        <v>120</v>
      </c>
      <c r="C13" s="309"/>
      <c r="D13" s="22" t="s">
        <v>13</v>
      </c>
      <c r="E13" s="22" t="s">
        <v>14</v>
      </c>
      <c r="F13" s="22" t="s">
        <v>15</v>
      </c>
      <c r="G13" s="22" t="s">
        <v>16</v>
      </c>
      <c r="H13" s="22" t="s">
        <v>17</v>
      </c>
      <c r="I13" s="22" t="s">
        <v>18</v>
      </c>
      <c r="J13" s="22" t="s">
        <v>19</v>
      </c>
      <c r="K13" s="22" t="s">
        <v>20</v>
      </c>
      <c r="L13" s="28" t="s">
        <v>21</v>
      </c>
      <c r="M13" s="23" t="s">
        <v>11</v>
      </c>
      <c r="N13" s="23" t="s">
        <v>8</v>
      </c>
      <c r="O13" s="258" t="s">
        <v>22</v>
      </c>
      <c r="P13" s="258" t="s">
        <v>23</v>
      </c>
      <c r="Q13" s="28" t="s">
        <v>24</v>
      </c>
      <c r="R13" s="28" t="s">
        <v>25</v>
      </c>
      <c r="S13" s="28" t="s">
        <v>26</v>
      </c>
      <c r="T13" s="28" t="s">
        <v>27</v>
      </c>
      <c r="U13" s="28" t="s">
        <v>28</v>
      </c>
      <c r="V13" s="28" t="s">
        <v>29</v>
      </c>
      <c r="W13" s="28" t="s">
        <v>30</v>
      </c>
      <c r="X13" s="23" t="s">
        <v>31</v>
      </c>
    </row>
    <row r="14" spans="2:24" ht="16.5" customHeight="1" x14ac:dyDescent="0.25">
      <c r="B14" s="31" t="s">
        <v>95</v>
      </c>
      <c r="C14" s="309"/>
      <c r="D14" s="22"/>
      <c r="E14" s="157">
        <f>E15+E20</f>
        <v>4624.49009381</v>
      </c>
      <c r="F14" s="157">
        <f t="shared" ref="F14:X14" si="0">F15+F20</f>
        <v>4711.9125066200004</v>
      </c>
      <c r="G14" s="157">
        <f t="shared" si="0"/>
        <v>4567.8125719599993</v>
      </c>
      <c r="H14" s="157">
        <f t="shared" si="0"/>
        <v>4625.8449520600007</v>
      </c>
      <c r="I14" s="157">
        <f t="shared" si="0"/>
        <v>4417.089472919999</v>
      </c>
      <c r="J14" s="157">
        <f t="shared" si="0"/>
        <v>4784.0880842300003</v>
      </c>
      <c r="K14" s="157">
        <f t="shared" si="0"/>
        <v>4891.3993895599997</v>
      </c>
      <c r="L14" s="157">
        <f t="shared" si="0"/>
        <v>4857.2483577900002</v>
      </c>
      <c r="M14" s="185">
        <f t="shared" si="0"/>
        <v>4999.7428090200001</v>
      </c>
      <c r="N14" s="185">
        <f t="shared" si="0"/>
        <v>5164.9421170099995</v>
      </c>
      <c r="O14" s="259">
        <f t="shared" si="0"/>
        <v>5436.625606995186</v>
      </c>
      <c r="P14" s="259">
        <f t="shared" si="0"/>
        <v>5657.0686010647541</v>
      </c>
      <c r="Q14" s="157">
        <f t="shared" si="0"/>
        <v>5669.0512593445519</v>
      </c>
      <c r="R14" s="157">
        <f t="shared" si="0"/>
        <v>5713.5996477580957</v>
      </c>
      <c r="S14" s="157">
        <f t="shared" si="0"/>
        <v>5754.2494373202808</v>
      </c>
      <c r="T14" s="157">
        <f t="shared" si="0"/>
        <v>5803.016791647382</v>
      </c>
      <c r="U14" s="157">
        <f t="shared" si="0"/>
        <v>5848.5996179516851</v>
      </c>
      <c r="V14" s="157">
        <f t="shared" si="0"/>
        <v>5894.4557168729425</v>
      </c>
      <c r="W14" s="157">
        <f t="shared" si="0"/>
        <v>5940.5328455058661</v>
      </c>
      <c r="X14" s="185">
        <f t="shared" si="0"/>
        <v>5987.8774245889617</v>
      </c>
    </row>
    <row r="15" spans="2:24" s="7" customFormat="1" ht="16.5" customHeight="1" x14ac:dyDescent="0.25">
      <c r="B15" s="104" t="s">
        <v>93</v>
      </c>
      <c r="C15" s="24" t="s">
        <v>36</v>
      </c>
      <c r="D15" s="184">
        <f>'4.Turnover'!D39+'4.Turnover'!D16+'4.Turnover'!D62</f>
        <v>4429.2117559600001</v>
      </c>
      <c r="E15" s="184">
        <f>'4.Turnover'!E39+'4.Turnover'!E16+'4.Turnover'!E62</f>
        <v>4604.1500938099998</v>
      </c>
      <c r="F15" s="184">
        <f>'4.Turnover'!F39+'4.Turnover'!F16+'4.Turnover'!F62</f>
        <v>4694.8625066200002</v>
      </c>
      <c r="G15" s="184">
        <f>'4.Turnover'!G39+'4.Turnover'!G16+'4.Turnover'!G62</f>
        <v>4547.5625719599993</v>
      </c>
      <c r="H15" s="184">
        <f>'4.Turnover'!H39+'4.Turnover'!H16+'4.Turnover'!H62</f>
        <v>4608.3349520600004</v>
      </c>
      <c r="I15" s="184">
        <f>'4.Turnover'!I39+'4.Turnover'!I16+'4.Turnover'!I62</f>
        <v>4400.6494729199994</v>
      </c>
      <c r="J15" s="184">
        <f>'4.Turnover'!J39+'4.Turnover'!J16+'4.Turnover'!J62</f>
        <v>4764.6380842300005</v>
      </c>
      <c r="K15" s="184">
        <f>'4.Turnover'!K39+'4.Turnover'!K16+'4.Turnover'!K62</f>
        <v>4814.03938956</v>
      </c>
      <c r="L15" s="184">
        <f>'4.Turnover'!L39+'4.Turnover'!L16+'4.Turnover'!L62</f>
        <v>4563.7283577899998</v>
      </c>
      <c r="M15" s="186">
        <f>'4.Turnover'!M39+'4.Turnover'!M16+'4.Turnover'!M62</f>
        <v>4282.1228090200002</v>
      </c>
      <c r="N15" s="186">
        <f>'4.Turnover'!N39+'4.Turnover'!N16+'4.Turnover'!N62</f>
        <v>4186.6221170099998</v>
      </c>
      <c r="O15" s="260">
        <f>'4.Turnover'!O39+'4.Turnover'!O16+'4.Turnover'!O62</f>
        <v>4487.6176069951862</v>
      </c>
      <c r="P15" s="260">
        <f>'4.Turnover'!P39+'4.Turnover'!P16+'4.Turnover'!P62</f>
        <v>4645.2916010647541</v>
      </c>
      <c r="Q15" s="184">
        <f>'4.Turnover'!Q39+'4.Turnover'!Q16+'4.Turnover'!Q62</f>
        <v>4612.0702593445521</v>
      </c>
      <c r="R15" s="184">
        <f>'4.Turnover'!R39+'4.Turnover'!R16+'4.Turnover'!R62</f>
        <v>4611.4146477580953</v>
      </c>
      <c r="S15" s="184">
        <f>'4.Turnover'!S39+'4.Turnover'!S16+'4.Turnover'!S62</f>
        <v>4611.2516873202803</v>
      </c>
      <c r="T15" s="184">
        <f>'4.Turnover'!T39+'4.Turnover'!T16+'4.Turnover'!T62</f>
        <v>4611.5216041473823</v>
      </c>
      <c r="U15" s="184">
        <f>'4.Turnover'!U39+'4.Turnover'!U16+'4.Turnover'!U62</f>
        <v>4612.1748835766848</v>
      </c>
      <c r="V15" s="184">
        <f>'4.Turnover'!V39+'4.Turnover'!V16+'4.Turnover'!V62</f>
        <v>4613.1700489041923</v>
      </c>
      <c r="W15" s="184">
        <f>'4.Turnover'!W39+'4.Turnover'!W16+'4.Turnover'!W62</f>
        <v>4614.4720105449287</v>
      </c>
      <c r="X15" s="186">
        <f>'4.Turnover'!X39+'4.Turnover'!X16+'4.Turnover'!X62</f>
        <v>4616.0508183877901</v>
      </c>
    </row>
    <row r="16" spans="2:24" s="7" customFormat="1" ht="16.5" customHeight="1" x14ac:dyDescent="0.25">
      <c r="B16" s="98" t="s">
        <v>115</v>
      </c>
      <c r="C16" s="24" t="s">
        <v>34</v>
      </c>
      <c r="D16" s="40"/>
      <c r="E16" s="89">
        <f>E19/E15</f>
        <v>0.15944106573363034</v>
      </c>
      <c r="F16" s="89">
        <f t="shared" ref="F16:X16" si="1">F19/F15</f>
        <v>0.15947213431403764</v>
      </c>
      <c r="G16" s="89">
        <f t="shared" si="1"/>
        <v>0.1594905170934606</v>
      </c>
      <c r="H16" s="89">
        <f t="shared" si="1"/>
        <v>0.1594369381205217</v>
      </c>
      <c r="I16" s="89">
        <f t="shared" si="1"/>
        <v>0.16010685811570249</v>
      </c>
      <c r="J16" s="89">
        <f t="shared" si="1"/>
        <v>0.15883197418392511</v>
      </c>
      <c r="K16" s="89">
        <f t="shared" si="1"/>
        <v>0.16075128539375827</v>
      </c>
      <c r="L16" s="89">
        <f t="shared" si="1"/>
        <v>0.16091221141378714</v>
      </c>
      <c r="M16" s="91">
        <f t="shared" si="1"/>
        <v>0.16163310362595984</v>
      </c>
      <c r="N16" s="91">
        <f t="shared" si="1"/>
        <v>0.15619018774577387</v>
      </c>
      <c r="O16" s="261">
        <f t="shared" si="1"/>
        <v>0.157063065689171</v>
      </c>
      <c r="P16" s="261">
        <f t="shared" si="1"/>
        <v>0.1554765362150366</v>
      </c>
      <c r="Q16" s="89">
        <f t="shared" si="1"/>
        <v>0.15544686217296214</v>
      </c>
      <c r="R16" s="89">
        <f t="shared" si="1"/>
        <v>0.15546812971268742</v>
      </c>
      <c r="S16" s="89">
        <f t="shared" si="1"/>
        <v>0.15548907323873579</v>
      </c>
      <c r="T16" s="89">
        <f t="shared" si="1"/>
        <v>0.15550972631192855</v>
      </c>
      <c r="U16" s="89">
        <f t="shared" si="1"/>
        <v>0.15553011677157316</v>
      </c>
      <c r="V16" s="89">
        <f t="shared" si="1"/>
        <v>0.15555026796942628</v>
      </c>
      <c r="W16" s="89">
        <f t="shared" si="1"/>
        <v>0.15557019968811558</v>
      </c>
      <c r="X16" s="91">
        <f t="shared" si="1"/>
        <v>0.15558992883615139</v>
      </c>
    </row>
    <row r="17" spans="2:26" s="7" customFormat="1" ht="16.5" customHeight="1" x14ac:dyDescent="0.25">
      <c r="B17" s="98" t="s">
        <v>12</v>
      </c>
      <c r="C17" s="24" t="s">
        <v>34</v>
      </c>
      <c r="D17" s="40"/>
      <c r="E17" s="102">
        <v>0.19109999999999999</v>
      </c>
      <c r="F17" s="102">
        <v>0.19109999999999999</v>
      </c>
      <c r="G17" s="102">
        <v>0.19109999999999999</v>
      </c>
      <c r="H17" s="102">
        <v>0.19109999999999999</v>
      </c>
      <c r="I17" s="102">
        <v>0.19109999999999999</v>
      </c>
      <c r="J17" s="102">
        <v>0.19109999999999999</v>
      </c>
      <c r="K17" s="102">
        <v>0.19109999999999999</v>
      </c>
      <c r="L17" s="102">
        <v>0.19109999999999999</v>
      </c>
      <c r="M17" s="103">
        <v>0.19109999999999999</v>
      </c>
      <c r="N17" s="176">
        <v>0.19109999999999999</v>
      </c>
      <c r="O17" s="263">
        <f>N17</f>
        <v>0.19109999999999999</v>
      </c>
      <c r="P17" s="176">
        <f>O17</f>
        <v>0.19109999999999999</v>
      </c>
      <c r="Q17" s="102">
        <f t="shared" ref="Q17:X17" si="2">P17</f>
        <v>0.19109999999999999</v>
      </c>
      <c r="R17" s="102">
        <f t="shared" si="2"/>
        <v>0.19109999999999999</v>
      </c>
      <c r="S17" s="102">
        <f t="shared" si="2"/>
        <v>0.19109999999999999</v>
      </c>
      <c r="T17" s="102">
        <f t="shared" si="2"/>
        <v>0.19109999999999999</v>
      </c>
      <c r="U17" s="102">
        <f t="shared" si="2"/>
        <v>0.19109999999999999</v>
      </c>
      <c r="V17" s="102">
        <f t="shared" si="2"/>
        <v>0.19109999999999999</v>
      </c>
      <c r="W17" s="102">
        <f t="shared" si="2"/>
        <v>0.19109999999999999</v>
      </c>
      <c r="X17" s="103">
        <f t="shared" si="2"/>
        <v>0.19109999999999999</v>
      </c>
    </row>
    <row r="18" spans="2:26" s="7" customFormat="1" ht="16.5" customHeight="1" x14ac:dyDescent="0.25">
      <c r="B18" s="98" t="s">
        <v>35</v>
      </c>
      <c r="C18" s="24" t="s">
        <v>36</v>
      </c>
      <c r="D18" s="184">
        <f>'4.Turnover'!D19+'4.Turnover'!D42+'4.Turnover'!D65</f>
        <v>135.11288190000002</v>
      </c>
      <c r="E18" s="184">
        <f>'4.Turnover'!E19+'4.Turnover'!E42+'4.Turnover'!E65</f>
        <v>140.46811063999999</v>
      </c>
      <c r="F18" s="184">
        <f>'4.Turnover'!F19+'4.Turnover'!F42+'4.Turnover'!F65</f>
        <v>143.22176168999999</v>
      </c>
      <c r="G18" s="184">
        <f>'4.Turnover'!G19+'4.Turnover'!G42+'4.Turnover'!G65</f>
        <v>138.77327392999999</v>
      </c>
      <c r="H18" s="184">
        <f>'4.Turnover'!H19+'4.Turnover'!H42+'4.Turnover'!H65</f>
        <v>140.64359951999998</v>
      </c>
      <c r="I18" s="184">
        <f>'4.Turnover'!I19+'4.Turnover'!I42+'4.Turnover'!I65</f>
        <v>134.92418096</v>
      </c>
      <c r="J18" s="184">
        <f>'4.Turnover'!J19+'4.Turnover'!J42+'4.Turnover'!J65</f>
        <v>144.77031262999998</v>
      </c>
      <c r="K18" s="184">
        <f>'4.Turnover'!K19+'4.Turnover'!K42+'4.Turnover'!K65</f>
        <v>148.27755212</v>
      </c>
      <c r="L18" s="184">
        <f>'4.Turnover'!L19+'4.Turnover'!L42+'4.Turnover'!L65</f>
        <v>140.72005679</v>
      </c>
      <c r="M18" s="186">
        <f>'4.Turnover'!M19+'4.Turnover'!M42+'4.Turnover'!M65</f>
        <v>132.59728587000001</v>
      </c>
      <c r="N18" s="186">
        <f>'4.Turnover'!N19+'4.Turnover'!N42+'4.Turnover'!N65</f>
        <v>124.55627195</v>
      </c>
      <c r="O18" s="260">
        <f>'4.Turnover'!O19+'4.Turnover'!O42+'4.Turnover'!O65</f>
        <v>133.87308789915386</v>
      </c>
      <c r="P18" s="260">
        <f>'4.Turnover'!P19+'4.Turnover'!P42+'4.Turnover'!P65</f>
        <v>138.01027655099375</v>
      </c>
      <c r="Q18" s="184">
        <f>'4.Turnover'!Q19+'4.Turnover'!Q42+'4.Turnover'!Q65</f>
        <v>136.99725231124165</v>
      </c>
      <c r="R18" s="184">
        <f>'4.Turnover'!R19+'4.Turnover'!R42+'4.Turnover'!R65</f>
        <v>136.99609433000501</v>
      </c>
      <c r="S18" s="184">
        <f>'4.Turnover'!S19+'4.Turnover'!S42+'4.Turnover'!S65</f>
        <v>137.009284143467</v>
      </c>
      <c r="T18" s="184">
        <f>'4.Turnover'!T19+'4.Turnover'!T42+'4.Turnover'!T65</f>
        <v>137.03508091855659</v>
      </c>
      <c r="U18" s="184">
        <f>'4.Turnover'!U19+'4.Turnover'!U42+'4.Turnover'!U65</f>
        <v>137.07204260806216</v>
      </c>
      <c r="V18" s="184">
        <f>'4.Turnover'!V19+'4.Turnover'!V42+'4.Turnover'!V65</f>
        <v>137.11896125938813</v>
      </c>
      <c r="W18" s="184">
        <f>'4.Turnover'!W19+'4.Turnover'!W42+'4.Turnover'!W65</f>
        <v>137.17481493609392</v>
      </c>
      <c r="X18" s="186">
        <f>'4.Turnover'!X19+'4.Turnover'!X42+'4.Turnover'!X65</f>
        <v>137.23873138192573</v>
      </c>
    </row>
    <row r="19" spans="2:26" s="7" customFormat="1" ht="16.5" customHeight="1" x14ac:dyDescent="0.25">
      <c r="B19" s="105" t="s">
        <v>116</v>
      </c>
      <c r="C19" s="189" t="s">
        <v>36</v>
      </c>
      <c r="D19" s="246">
        <f>'4.Turnover'!D20+'4.Turnover'!D43+'4.Turnover'!D66</f>
        <v>707.21333667091199</v>
      </c>
      <c r="E19" s="246">
        <f>'4.Turnover'!E20+'4.Turnover'!E43+'4.Turnover'!E66</f>
        <v>734.09059775466051</v>
      </c>
      <c r="F19" s="246">
        <f>'4.Turnover'!F20+'4.Turnover'!F43+'4.Turnover'!F66</f>
        <v>748.69974424164411</v>
      </c>
      <c r="G19" s="246">
        <f>'4.Turnover'!G20+'4.Turnover'!G43+'4.Turnover'!G66</f>
        <v>725.29310611676794</v>
      </c>
      <c r="H19" s="246">
        <f>'4.Turnover'!H20+'4.Turnover'!H43+'4.Turnover'!H66</f>
        <v>734.73881459022766</v>
      </c>
      <c r="I19" s="246">
        <f>'4.Turnover'!I20+'4.Turnover'!I43+'4.Turnover'!I66</f>
        <v>704.57416077774337</v>
      </c>
      <c r="J19" s="246">
        <f>'4.Turnover'!J20+'4.Turnover'!J43+'4.Turnover'!J66</f>
        <v>756.77687319016582</v>
      </c>
      <c r="K19" s="246">
        <f>'4.Turnover'!K20+'4.Turnover'!K43+'4.Turnover'!K66</f>
        <v>773.86301980795338</v>
      </c>
      <c r="L19" s="246">
        <f>'4.Turnover'!L20+'4.Turnover'!L43+'4.Turnover'!L66</f>
        <v>734.35962234380008</v>
      </c>
      <c r="M19" s="248">
        <f>'4.Turnover'!M20+'4.Turnover'!M43+'4.Turnover'!M66</f>
        <v>692.13279972941598</v>
      </c>
      <c r="N19" s="248">
        <f>'4.Turnover'!N20+'4.Turnover'!N43+'4.Turnover'!N66</f>
        <v>653.9092944764011</v>
      </c>
      <c r="O19" s="269">
        <f>'4.Turnover'!O20+'4.Turnover'!O43+'4.Turnover'!O66</f>
        <v>704.83897899536532</v>
      </c>
      <c r="P19" s="269">
        <f>'4.Turnover'!P20+'4.Turnover'!P43+'4.Turnover'!P66</f>
        <v>722.23384784234952</v>
      </c>
      <c r="Q19" s="246">
        <f>'4.Turnover'!Q20+'4.Turnover'!Q43+'4.Turnover'!Q66</f>
        <v>716.93184993635032</v>
      </c>
      <c r="R19" s="246">
        <f>'4.Turnover'!R20+'4.Turnover'!R43+'4.Turnover'!R66</f>
        <v>716.92801061664227</v>
      </c>
      <c r="S19" s="246">
        <f>'4.Turnover'!S20+'4.Turnover'!S43+'4.Turnover'!S66</f>
        <v>716.99925133198701</v>
      </c>
      <c r="T19" s="246">
        <f>'4.Turnover'!T20+'4.Turnover'!T43+'4.Turnover'!T66</f>
        <v>717.13646254250511</v>
      </c>
      <c r="U19" s="246">
        <f>'4.Turnover'!U20+'4.Turnover'!U43+'4.Turnover'!U66</f>
        <v>717.33209821359867</v>
      </c>
      <c r="V19" s="246">
        <f>'4.Turnover'!V20+'4.Turnover'!V43+'4.Turnover'!V66</f>
        <v>717.5798372955785</v>
      </c>
      <c r="W19" s="246">
        <f>'4.Turnover'!W20+'4.Turnover'!W43+'4.Turnover'!W66</f>
        <v>717.87433213569477</v>
      </c>
      <c r="X19" s="248">
        <f>'4.Turnover'!X20+'4.Turnover'!X43+'4.Turnover'!X66</f>
        <v>718.21101833701459</v>
      </c>
    </row>
    <row r="20" spans="2:26" s="7" customFormat="1" ht="16.5" customHeight="1" x14ac:dyDescent="0.25">
      <c r="B20" s="104" t="s">
        <v>94</v>
      </c>
      <c r="C20" s="24" t="s">
        <v>36</v>
      </c>
      <c r="D20" s="40">
        <f>'4.Turnover'!D21+'4.Turnover'!D44+'4.Turnover'!D67</f>
        <v>0</v>
      </c>
      <c r="E20" s="40">
        <f>'4.Turnover'!E21+'4.Turnover'!E44+'4.Turnover'!E67</f>
        <v>20.34</v>
      </c>
      <c r="F20" s="40">
        <f>'4.Turnover'!F21+'4.Turnover'!F44+'4.Turnover'!F67</f>
        <v>17.05</v>
      </c>
      <c r="G20" s="40">
        <f>'4.Turnover'!G21+'4.Turnover'!G44+'4.Turnover'!G67</f>
        <v>20.25</v>
      </c>
      <c r="H20" s="40">
        <f>'4.Turnover'!H21+'4.Turnover'!H44+'4.Turnover'!H67</f>
        <v>17.510000000000002</v>
      </c>
      <c r="I20" s="40">
        <f>'4.Turnover'!I21+'4.Turnover'!I44+'4.Turnover'!I67</f>
        <v>16.440000000000001</v>
      </c>
      <c r="J20" s="40">
        <f>'4.Turnover'!J21+'4.Turnover'!J44+'4.Turnover'!J67</f>
        <v>19.45</v>
      </c>
      <c r="K20" s="40">
        <f>'4.Turnover'!K21+'4.Turnover'!K44+'4.Turnover'!K67</f>
        <v>77.36</v>
      </c>
      <c r="L20" s="40">
        <f>'4.Turnover'!L21+'4.Turnover'!L44+'4.Turnover'!L67</f>
        <v>293.52</v>
      </c>
      <c r="M20" s="25">
        <f>'4.Turnover'!M21+'4.Turnover'!M44+'4.Turnover'!M67</f>
        <v>717.62</v>
      </c>
      <c r="N20" s="25">
        <f>'4.Turnover'!N21+'4.Turnover'!N44+'4.Turnover'!N67</f>
        <v>978.32</v>
      </c>
      <c r="O20" s="262">
        <f>'4.Turnover'!O21+'4.Turnover'!O44+'4.Turnover'!O67</f>
        <v>949.00800000000004</v>
      </c>
      <c r="P20" s="262">
        <f>'4.Turnover'!P21+'4.Turnover'!P44+'4.Turnover'!P67</f>
        <v>1011.777</v>
      </c>
      <c r="Q20" s="40">
        <f>'4.Turnover'!Q21+'4.Turnover'!Q44+'4.Turnover'!Q67</f>
        <v>1056.981</v>
      </c>
      <c r="R20" s="40">
        <f>'4.Turnover'!R21+'4.Turnover'!R44+'4.Turnover'!R67</f>
        <v>1102.1850000000002</v>
      </c>
      <c r="S20" s="40">
        <f>'4.Turnover'!S21+'4.Turnover'!S44+'4.Turnover'!S67</f>
        <v>1142.99775</v>
      </c>
      <c r="T20" s="40">
        <f>'4.Turnover'!T21+'4.Turnover'!T44+'4.Turnover'!T67</f>
        <v>1191.4951874999999</v>
      </c>
      <c r="U20" s="40">
        <f>'4.Turnover'!U21+'4.Turnover'!U44+'4.Turnover'!U67</f>
        <v>1236.4247343750001</v>
      </c>
      <c r="V20" s="40">
        <f>'4.Turnover'!V21+'4.Turnover'!V44+'4.Turnover'!V67</f>
        <v>1281.28566796875</v>
      </c>
      <c r="W20" s="40">
        <f>'4.Turnover'!W21+'4.Turnover'!W44+'4.Turnover'!W67</f>
        <v>1326.0608349609374</v>
      </c>
      <c r="X20" s="25">
        <f>'4.Turnover'!X21+'4.Turnover'!X44+'4.Turnover'!X67</f>
        <v>1371.8266062011719</v>
      </c>
    </row>
    <row r="21" spans="2:26" s="7" customFormat="1" ht="16.5" customHeight="1" x14ac:dyDescent="0.25">
      <c r="B21" s="98" t="s">
        <v>115</v>
      </c>
      <c r="C21" s="24" t="s">
        <v>34</v>
      </c>
      <c r="D21" s="40"/>
      <c r="E21" s="111">
        <v>0.19</v>
      </c>
      <c r="F21" s="111">
        <v>0.19</v>
      </c>
      <c r="G21" s="111">
        <v>0.19</v>
      </c>
      <c r="H21" s="111">
        <v>0.19</v>
      </c>
      <c r="I21" s="111">
        <v>0.19</v>
      </c>
      <c r="J21" s="111">
        <v>0.19</v>
      </c>
      <c r="K21" s="111">
        <v>0.19</v>
      </c>
      <c r="L21" s="111">
        <v>0.19</v>
      </c>
      <c r="M21" s="110">
        <v>0.19</v>
      </c>
      <c r="N21" s="110">
        <v>0.19</v>
      </c>
      <c r="O21" s="265">
        <v>0.19</v>
      </c>
      <c r="P21" s="265">
        <v>0.19</v>
      </c>
      <c r="Q21" s="111">
        <v>0.19</v>
      </c>
      <c r="R21" s="111">
        <v>0.19</v>
      </c>
      <c r="S21" s="111">
        <v>0.19</v>
      </c>
      <c r="T21" s="111">
        <v>0.19</v>
      </c>
      <c r="U21" s="111">
        <v>0.19</v>
      </c>
      <c r="V21" s="111">
        <v>0.19</v>
      </c>
      <c r="W21" s="111">
        <v>0.19</v>
      </c>
      <c r="X21" s="110">
        <v>0.19</v>
      </c>
    </row>
    <row r="22" spans="2:26" s="7" customFormat="1" ht="16.5" customHeight="1" x14ac:dyDescent="0.25">
      <c r="B22" s="98" t="s">
        <v>12</v>
      </c>
      <c r="C22" s="24" t="s">
        <v>34</v>
      </c>
      <c r="D22" s="40"/>
      <c r="E22" s="102">
        <f>0.1091</f>
        <v>0.1091</v>
      </c>
      <c r="F22" s="102">
        <f t="shared" ref="F22:M22" si="3">0.1091</f>
        <v>0.1091</v>
      </c>
      <c r="G22" s="102">
        <f t="shared" si="3"/>
        <v>0.1091</v>
      </c>
      <c r="H22" s="102">
        <f t="shared" si="3"/>
        <v>0.1091</v>
      </c>
      <c r="I22" s="102">
        <f t="shared" si="3"/>
        <v>0.1091</v>
      </c>
      <c r="J22" s="102">
        <f t="shared" si="3"/>
        <v>0.1091</v>
      </c>
      <c r="K22" s="102">
        <f t="shared" si="3"/>
        <v>0.1091</v>
      </c>
      <c r="L22" s="102">
        <f t="shared" si="3"/>
        <v>0.1091</v>
      </c>
      <c r="M22" s="103">
        <f t="shared" si="3"/>
        <v>0.1091</v>
      </c>
      <c r="N22" s="176">
        <f>0.1091</f>
        <v>0.1091</v>
      </c>
      <c r="O22" s="263">
        <f t="shared" ref="O22:X22" si="4">0.1091</f>
        <v>0.1091</v>
      </c>
      <c r="P22" s="176">
        <f t="shared" si="4"/>
        <v>0.1091</v>
      </c>
      <c r="Q22" s="102">
        <f t="shared" si="4"/>
        <v>0.1091</v>
      </c>
      <c r="R22" s="102">
        <f t="shared" si="4"/>
        <v>0.1091</v>
      </c>
      <c r="S22" s="102">
        <f t="shared" si="4"/>
        <v>0.1091</v>
      </c>
      <c r="T22" s="102">
        <f t="shared" si="4"/>
        <v>0.1091</v>
      </c>
      <c r="U22" s="102">
        <f t="shared" si="4"/>
        <v>0.1091</v>
      </c>
      <c r="V22" s="102">
        <f t="shared" si="4"/>
        <v>0.1091</v>
      </c>
      <c r="W22" s="102">
        <f t="shared" si="4"/>
        <v>0.1091</v>
      </c>
      <c r="X22" s="103">
        <f t="shared" si="4"/>
        <v>0.1091</v>
      </c>
    </row>
    <row r="23" spans="2:26" s="7" customFormat="1" ht="16.5" customHeight="1" x14ac:dyDescent="0.25">
      <c r="B23" s="98" t="s">
        <v>35</v>
      </c>
      <c r="C23" s="24" t="s">
        <v>36</v>
      </c>
      <c r="D23" s="40">
        <f>'4.Turnover'!D24+'4.Turnover'!D47+'4.Turnover'!D70</f>
        <v>0</v>
      </c>
      <c r="E23" s="40">
        <f>'4.Turnover'!E24+'4.Turnover'!E47+'4.Turnover'!E70</f>
        <v>0.42162785999999997</v>
      </c>
      <c r="F23" s="40">
        <f>'4.Turnover'!F24+'4.Turnover'!F47+'4.Turnover'!F70</f>
        <v>0.35342945000000003</v>
      </c>
      <c r="G23" s="40">
        <f>'4.Turnover'!G24+'4.Turnover'!G47+'4.Turnover'!G70</f>
        <v>0.41976225</v>
      </c>
      <c r="H23" s="40">
        <f>'4.Turnover'!H24+'4.Turnover'!H47+'4.Turnover'!H70</f>
        <v>0.36296479000000004</v>
      </c>
      <c r="I23" s="40">
        <f>'4.Turnover'!I24+'4.Turnover'!I47+'4.Turnover'!I70</f>
        <v>0.34078476000000002</v>
      </c>
      <c r="J23" s="40">
        <f>'4.Turnover'!J24+'4.Turnover'!J47+'4.Turnover'!J70</f>
        <v>0.40317904999999998</v>
      </c>
      <c r="K23" s="40">
        <f>'4.Turnover'!K24+'4.Turnover'!K47+'4.Turnover'!K70</f>
        <v>1.6035954400000001</v>
      </c>
      <c r="L23" s="40">
        <f>'4.Turnover'!L24+'4.Turnover'!L47+'4.Turnover'!L70</f>
        <v>6.0843760800000011</v>
      </c>
      <c r="M23" s="25">
        <f>'4.Turnover'!M24+'4.Turnover'!M47+'4.Turnover'!M70</f>
        <v>14.875544980000001</v>
      </c>
      <c r="N23" s="25">
        <f>'4.Turnover'!N24+'4.Turnover'!N47+'4.Turnover'!N70</f>
        <v>19.249247990000001</v>
      </c>
      <c r="O23" s="262">
        <f>'4.Turnover'!O24+'4.Turnover'!O47+'4.Turnover'!O70</f>
        <v>19.671986831999998</v>
      </c>
      <c r="P23" s="262">
        <f>'4.Turnover'!P24+'4.Turnover'!P47+'4.Turnover'!P70</f>
        <v>20.973125433</v>
      </c>
      <c r="Q23" s="40">
        <f>'4.Turnover'!Q24+'4.Turnover'!Q47+'4.Turnover'!Q70</f>
        <v>21.910159149000002</v>
      </c>
      <c r="R23" s="40">
        <f>'4.Turnover'!R24+'4.Turnover'!R47+'4.Turnover'!R70</f>
        <v>22.847192865000004</v>
      </c>
      <c r="S23" s="40">
        <f>'4.Turnover'!S24+'4.Turnover'!S47+'4.Turnover'!S70</f>
        <v>23.693200359750001</v>
      </c>
      <c r="T23" s="40">
        <f>'4.Turnover'!T24+'4.Turnover'!T47+'4.Turnover'!T70</f>
        <v>24.6985037416875</v>
      </c>
      <c r="U23" s="40">
        <f>'4.Turnover'!U24+'4.Turnover'!U47+'4.Turnover'!U70</f>
        <v>25.629848318859377</v>
      </c>
      <c r="V23" s="40">
        <f>'4.Turnover'!V24+'4.Turnover'!V47+'4.Turnover'!V70</f>
        <v>26.559770611324218</v>
      </c>
      <c r="W23" s="40">
        <f>'4.Turnover'!W24+'4.Turnover'!W47+'4.Turnover'!W70</f>
        <v>27.487915047905272</v>
      </c>
      <c r="X23" s="25">
        <f>'4.Turnover'!X24+'4.Turnover'!X47+'4.Turnover'!X70</f>
        <v>28.436593719944089</v>
      </c>
    </row>
    <row r="24" spans="2:26" s="7" customFormat="1" ht="16.5" customHeight="1" x14ac:dyDescent="0.25">
      <c r="B24" s="105" t="s">
        <v>116</v>
      </c>
      <c r="C24" s="189" t="s">
        <v>36</v>
      </c>
      <c r="D24" s="37">
        <f>'4.Turnover'!D25+'4.Turnover'!D48+'4.Turnover'!D71</f>
        <v>0</v>
      </c>
      <c r="E24" s="37">
        <f>'4.Turnover'!E25+'4.Turnover'!E48+'4.Turnover'!E71</f>
        <v>3.8645999999999998</v>
      </c>
      <c r="F24" s="37">
        <f>'4.Turnover'!F25+'4.Turnover'!F48+'4.Turnover'!F71</f>
        <v>3.2395</v>
      </c>
      <c r="G24" s="37">
        <f>'4.Turnover'!G25+'4.Turnover'!G48+'4.Turnover'!G71</f>
        <v>3.8475000000000001</v>
      </c>
      <c r="H24" s="37">
        <f>'4.Turnover'!H25+'4.Turnover'!H48+'4.Turnover'!H71</f>
        <v>3.3269000000000002</v>
      </c>
      <c r="I24" s="37">
        <f>'4.Turnover'!I25+'4.Turnover'!I48+'4.Turnover'!I71</f>
        <v>3.1236000000000002</v>
      </c>
      <c r="J24" s="37">
        <f>'4.Turnover'!J25+'4.Turnover'!J48+'4.Turnover'!J71</f>
        <v>3.6955</v>
      </c>
      <c r="K24" s="37">
        <f>'4.Turnover'!K25+'4.Turnover'!K48+'4.Turnover'!K71</f>
        <v>14.698400000000001</v>
      </c>
      <c r="L24" s="37">
        <f>'4.Turnover'!L25+'4.Turnover'!L48+'4.Turnover'!L71</f>
        <v>55.768800000000006</v>
      </c>
      <c r="M24" s="38">
        <f>'4.Turnover'!M25+'4.Turnover'!M48+'4.Turnover'!M71</f>
        <v>136.34780000000001</v>
      </c>
      <c r="N24" s="38">
        <f>'4.Turnover'!N25+'4.Turnover'!N48+'4.Turnover'!N71</f>
        <v>185.88079999999999</v>
      </c>
      <c r="O24" s="267">
        <f>'4.Turnover'!O25+'4.Turnover'!O48+'4.Turnover'!O71</f>
        <v>180.31152</v>
      </c>
      <c r="P24" s="267">
        <f>'4.Turnover'!P25+'4.Turnover'!P48+'4.Turnover'!P71</f>
        <v>192.23763</v>
      </c>
      <c r="Q24" s="37">
        <f>'4.Turnover'!Q25+'4.Turnover'!Q48+'4.Turnover'!Q71</f>
        <v>200.82639</v>
      </c>
      <c r="R24" s="37">
        <f>'4.Turnover'!R25+'4.Turnover'!R48+'4.Turnover'!R71</f>
        <v>209.41515000000001</v>
      </c>
      <c r="S24" s="37">
        <f>'4.Turnover'!S25+'4.Turnover'!S48+'4.Turnover'!S71</f>
        <v>217.16957249999999</v>
      </c>
      <c r="T24" s="37">
        <f>'4.Turnover'!T25+'4.Turnover'!T48+'4.Turnover'!T71</f>
        <v>226.38408562500001</v>
      </c>
      <c r="U24" s="37">
        <f>'4.Turnover'!U25+'4.Turnover'!U48+'4.Turnover'!U71</f>
        <v>234.92069953125002</v>
      </c>
      <c r="V24" s="37">
        <f>'4.Turnover'!V25+'4.Turnover'!V48+'4.Turnover'!V71</f>
        <v>243.4442769140625</v>
      </c>
      <c r="W24" s="37">
        <f>'4.Turnover'!W25+'4.Turnover'!W48+'4.Turnover'!W71</f>
        <v>251.95155864257814</v>
      </c>
      <c r="X24" s="38">
        <f>'4.Turnover'!X25+'4.Turnover'!X48+'4.Turnover'!X71</f>
        <v>260.64705517822267</v>
      </c>
    </row>
    <row r="25" spans="2:26" s="7" customFormat="1" ht="16.5" customHeight="1" x14ac:dyDescent="0.25">
      <c r="B25" s="149" t="s">
        <v>139</v>
      </c>
      <c r="C25" s="24" t="s">
        <v>34</v>
      </c>
      <c r="D25" s="40"/>
      <c r="E25" s="41"/>
      <c r="F25" s="41"/>
      <c r="G25" s="41"/>
      <c r="H25" s="41"/>
      <c r="I25" s="41"/>
      <c r="J25" s="41"/>
      <c r="K25" s="41"/>
      <c r="L25" s="41"/>
      <c r="M25" s="34"/>
      <c r="N25" s="176">
        <f>(N24+N19)/(N15+N20)</f>
        <v>0.16259428962633915</v>
      </c>
      <c r="O25" s="264"/>
      <c r="P25" s="263">
        <f>(P24+P19)/(P15+P20)</f>
        <v>0.16165112045313199</v>
      </c>
      <c r="Q25" s="41"/>
      <c r="R25" s="41"/>
      <c r="S25" s="41"/>
      <c r="T25" s="41"/>
      <c r="U25" s="41"/>
      <c r="V25" s="41"/>
      <c r="W25" s="41"/>
      <c r="X25" s="34"/>
    </row>
    <row r="26" spans="2:26" s="7" customFormat="1" ht="16.5" customHeight="1" x14ac:dyDescent="0.25">
      <c r="B26" s="149" t="s">
        <v>118</v>
      </c>
      <c r="C26" s="24" t="s">
        <v>36</v>
      </c>
      <c r="D26" s="40"/>
      <c r="E26" s="40">
        <f t="shared" ref="E26:X26" si="5">E24+E19</f>
        <v>737.9551977546605</v>
      </c>
      <c r="F26" s="40">
        <f t="shared" si="5"/>
        <v>751.93924424164413</v>
      </c>
      <c r="G26" s="40">
        <f t="shared" si="5"/>
        <v>729.14060611676791</v>
      </c>
      <c r="H26" s="40">
        <f t="shared" si="5"/>
        <v>738.06571459022769</v>
      </c>
      <c r="I26" s="40">
        <f t="shared" si="5"/>
        <v>707.69776077774338</v>
      </c>
      <c r="J26" s="40">
        <f t="shared" si="5"/>
        <v>760.47237319016585</v>
      </c>
      <c r="K26" s="40">
        <f t="shared" si="5"/>
        <v>788.56141980795337</v>
      </c>
      <c r="L26" s="40">
        <f t="shared" si="5"/>
        <v>790.12842234380014</v>
      </c>
      <c r="M26" s="25">
        <f t="shared" si="5"/>
        <v>828.48059972941599</v>
      </c>
      <c r="N26" s="30">
        <f t="shared" si="5"/>
        <v>839.79009447640112</v>
      </c>
      <c r="O26" s="262">
        <f t="shared" si="5"/>
        <v>885.1504989953653</v>
      </c>
      <c r="P26" s="262">
        <f t="shared" si="5"/>
        <v>914.47147784234949</v>
      </c>
      <c r="Q26" s="40">
        <f t="shared" si="5"/>
        <v>917.75823993635026</v>
      </c>
      <c r="R26" s="40">
        <f t="shared" si="5"/>
        <v>926.34316061664231</v>
      </c>
      <c r="S26" s="40">
        <f t="shared" si="5"/>
        <v>934.16882383198697</v>
      </c>
      <c r="T26" s="40">
        <f t="shared" si="5"/>
        <v>943.52054816750513</v>
      </c>
      <c r="U26" s="40">
        <f t="shared" si="5"/>
        <v>952.25279774484875</v>
      </c>
      <c r="V26" s="40">
        <f t="shared" si="5"/>
        <v>961.02411420964097</v>
      </c>
      <c r="W26" s="40">
        <f t="shared" si="5"/>
        <v>969.82589077827288</v>
      </c>
      <c r="X26" s="25">
        <f t="shared" si="5"/>
        <v>978.85807351523727</v>
      </c>
    </row>
    <row r="27" spans="2:26" s="7" customFormat="1" ht="16.5" customHeight="1" x14ac:dyDescent="0.25">
      <c r="B27" s="19" t="s">
        <v>119</v>
      </c>
      <c r="C27" s="24" t="s">
        <v>36</v>
      </c>
      <c r="D27" s="40"/>
      <c r="E27" s="40">
        <f t="shared" ref="E27:X27" si="6">E18+E23</f>
        <v>140.88973849999999</v>
      </c>
      <c r="F27" s="40">
        <f t="shared" si="6"/>
        <v>143.57519113999999</v>
      </c>
      <c r="G27" s="40">
        <f t="shared" si="6"/>
        <v>139.19303617999998</v>
      </c>
      <c r="H27" s="40">
        <f t="shared" si="6"/>
        <v>141.00656430999999</v>
      </c>
      <c r="I27" s="40">
        <f t="shared" si="6"/>
        <v>135.26496571999999</v>
      </c>
      <c r="J27" s="40">
        <f t="shared" si="6"/>
        <v>145.17349167999998</v>
      </c>
      <c r="K27" s="40">
        <f t="shared" si="6"/>
        <v>149.88114755999999</v>
      </c>
      <c r="L27" s="40">
        <f t="shared" si="6"/>
        <v>146.80443287</v>
      </c>
      <c r="M27" s="25">
        <f t="shared" si="6"/>
        <v>147.47283085000001</v>
      </c>
      <c r="N27" s="277">
        <f t="shared" si="6"/>
        <v>143.80551994000001</v>
      </c>
      <c r="O27" s="278">
        <f t="shared" si="6"/>
        <v>153.54507473115385</v>
      </c>
      <c r="P27" s="278">
        <f t="shared" si="6"/>
        <v>158.98340198399376</v>
      </c>
      <c r="Q27" s="279">
        <f t="shared" si="6"/>
        <v>158.90741146024166</v>
      </c>
      <c r="R27" s="279">
        <f t="shared" si="6"/>
        <v>159.84328719500502</v>
      </c>
      <c r="S27" s="279">
        <f t="shared" si="6"/>
        <v>160.70248450321699</v>
      </c>
      <c r="T27" s="279">
        <f t="shared" si="6"/>
        <v>161.73358466024408</v>
      </c>
      <c r="U27" s="279">
        <f t="shared" si="6"/>
        <v>162.70189092692155</v>
      </c>
      <c r="V27" s="279">
        <f t="shared" si="6"/>
        <v>163.67873187071234</v>
      </c>
      <c r="W27" s="279">
        <f t="shared" si="6"/>
        <v>164.66272998399918</v>
      </c>
      <c r="X27" s="277">
        <f t="shared" si="6"/>
        <v>165.67532510186982</v>
      </c>
      <c r="Z27" s="42"/>
    </row>
    <row r="28" spans="2:26" s="7" customFormat="1" ht="16.5" customHeight="1" x14ac:dyDescent="0.25">
      <c r="B28" s="106" t="s">
        <v>117</v>
      </c>
      <c r="C28" s="189" t="s">
        <v>34</v>
      </c>
      <c r="D28" s="37"/>
      <c r="E28" s="107">
        <f>E27/E26</f>
        <v>0.19091909499205126</v>
      </c>
      <c r="F28" s="107">
        <f>F27/F26</f>
        <v>0.1909398827624702</v>
      </c>
      <c r="G28" s="107">
        <f t="shared" ref="G28:M28" si="7">G27/G26</f>
        <v>0.19090012956665448</v>
      </c>
      <c r="H28" s="107">
        <f t="shared" si="7"/>
        <v>0.19104879351872683</v>
      </c>
      <c r="I28" s="107">
        <f t="shared" si="7"/>
        <v>0.19113380487645876</v>
      </c>
      <c r="J28" s="107">
        <f t="shared" si="7"/>
        <v>0.19089910008301839</v>
      </c>
      <c r="K28" s="107">
        <f t="shared" si="7"/>
        <v>0.19006908503906025</v>
      </c>
      <c r="L28" s="107">
        <f>L27/L26</f>
        <v>0.18579819269698736</v>
      </c>
      <c r="M28" s="108">
        <f t="shared" si="7"/>
        <v>0.17800396400128746</v>
      </c>
      <c r="N28" s="178">
        <f>N27/N26</f>
        <v>0.17123983824750993</v>
      </c>
      <c r="O28" s="270">
        <f>O27/O26</f>
        <v>0.17346776046042517</v>
      </c>
      <c r="P28" s="270">
        <f>P27/P26</f>
        <v>0.1738527727065991</v>
      </c>
      <c r="Q28" s="107">
        <f t="shared" ref="Q28:X28" si="8">Q27/Q26</f>
        <v>0.17314735465765194</v>
      </c>
      <c r="R28" s="107">
        <f t="shared" si="8"/>
        <v>0.17255299546725378</v>
      </c>
      <c r="S28" s="107">
        <f t="shared" si="8"/>
        <v>0.17202724004855016</v>
      </c>
      <c r="T28" s="107">
        <f t="shared" si="8"/>
        <v>0.17141501048849567</v>
      </c>
      <c r="U28" s="107">
        <f t="shared" si="8"/>
        <v>0.1708599767963262</v>
      </c>
      <c r="V28" s="107">
        <f t="shared" si="8"/>
        <v>0.17031698731651901</v>
      </c>
      <c r="W28" s="107">
        <f t="shared" si="8"/>
        <v>0.16978586728784839</v>
      </c>
      <c r="X28" s="108">
        <f t="shared" si="8"/>
        <v>0.16925367383128689</v>
      </c>
    </row>
    <row r="29" spans="2:26" s="7" customFormat="1" ht="16.5" customHeight="1" x14ac:dyDescent="0.25">
      <c r="B29" s="109"/>
      <c r="C29" s="254"/>
      <c r="D29" s="40"/>
      <c r="E29" s="40"/>
      <c r="F29" s="40"/>
      <c r="G29" s="40"/>
      <c r="H29" s="40"/>
      <c r="I29" s="40"/>
      <c r="J29" s="40"/>
      <c r="K29" s="40"/>
      <c r="L29" s="40"/>
      <c r="M29" s="25"/>
      <c r="N29" s="34"/>
      <c r="O29" s="234"/>
      <c r="P29" s="274"/>
      <c r="Q29" s="39"/>
      <c r="R29" s="39"/>
      <c r="S29" s="39"/>
      <c r="T29" s="39"/>
      <c r="U29" s="39"/>
      <c r="V29" s="39"/>
      <c r="W29" s="39"/>
      <c r="X29" s="437"/>
    </row>
    <row r="30" spans="2:26" x14ac:dyDescent="0.25">
      <c r="B30" s="94" t="s">
        <v>239</v>
      </c>
      <c r="C30" s="13"/>
      <c r="D30" s="22" t="s">
        <v>13</v>
      </c>
      <c r="E30" s="22" t="s">
        <v>14</v>
      </c>
      <c r="F30" s="22" t="s">
        <v>15</v>
      </c>
      <c r="G30" s="22" t="s">
        <v>16</v>
      </c>
      <c r="H30" s="22" t="s">
        <v>17</v>
      </c>
      <c r="I30" s="22" t="s">
        <v>18</v>
      </c>
      <c r="J30" s="22" t="s">
        <v>19</v>
      </c>
      <c r="K30" s="22" t="s">
        <v>20</v>
      </c>
      <c r="L30" s="22" t="s">
        <v>21</v>
      </c>
      <c r="M30" s="23" t="s">
        <v>11</v>
      </c>
      <c r="N30" s="23" t="s">
        <v>8</v>
      </c>
      <c r="O30" s="258" t="s">
        <v>22</v>
      </c>
      <c r="P30" s="268" t="s">
        <v>23</v>
      </c>
      <c r="Q30" s="28" t="s">
        <v>24</v>
      </c>
      <c r="R30" s="28" t="s">
        <v>25</v>
      </c>
      <c r="S30" s="28" t="s">
        <v>26</v>
      </c>
      <c r="T30" s="28" t="s">
        <v>27</v>
      </c>
      <c r="U30" s="28" t="s">
        <v>28</v>
      </c>
      <c r="V30" s="28" t="s">
        <v>29</v>
      </c>
      <c r="W30" s="28" t="s">
        <v>30</v>
      </c>
      <c r="X30" s="29" t="s">
        <v>31</v>
      </c>
    </row>
    <row r="31" spans="2:26" x14ac:dyDescent="0.25">
      <c r="B31" s="104" t="s">
        <v>93</v>
      </c>
      <c r="C31" s="24" t="s">
        <v>36</v>
      </c>
      <c r="D31" s="47"/>
      <c r="E31" s="47"/>
      <c r="F31" s="47"/>
      <c r="G31" s="47"/>
      <c r="H31" s="47"/>
      <c r="I31" s="47"/>
      <c r="J31" s="47"/>
      <c r="K31" s="47"/>
      <c r="L31" s="47"/>
      <c r="M31" s="255"/>
      <c r="N31" s="25">
        <f t="shared" ref="N31:X31" si="9">N15</f>
        <v>4186.6221170099998</v>
      </c>
      <c r="O31" s="262">
        <f t="shared" si="9"/>
        <v>4487.6176069951862</v>
      </c>
      <c r="P31" s="262">
        <f t="shared" si="9"/>
        <v>4645.2916010647541</v>
      </c>
      <c r="Q31" s="40">
        <f t="shared" si="9"/>
        <v>4612.0702593445521</v>
      </c>
      <c r="R31" s="40">
        <f t="shared" si="9"/>
        <v>4611.4146477580953</v>
      </c>
      <c r="S31" s="40">
        <f t="shared" si="9"/>
        <v>4611.2516873202803</v>
      </c>
      <c r="T31" s="40">
        <f t="shared" si="9"/>
        <v>4611.5216041473823</v>
      </c>
      <c r="U31" s="40">
        <f t="shared" si="9"/>
        <v>4612.1748835766848</v>
      </c>
      <c r="V31" s="40">
        <f t="shared" si="9"/>
        <v>4613.1700489041923</v>
      </c>
      <c r="W31" s="40">
        <f t="shared" si="9"/>
        <v>4614.4720105449287</v>
      </c>
      <c r="X31" s="25">
        <f t="shared" si="9"/>
        <v>4616.0508183877901</v>
      </c>
    </row>
    <row r="32" spans="2:26" x14ac:dyDescent="0.25">
      <c r="B32" s="98" t="s">
        <v>115</v>
      </c>
      <c r="C32" s="24" t="s">
        <v>34</v>
      </c>
      <c r="E32" s="89"/>
      <c r="F32" s="89"/>
      <c r="G32" s="89"/>
      <c r="H32" s="89"/>
      <c r="I32" s="89"/>
      <c r="J32" s="89"/>
      <c r="K32" s="89"/>
      <c r="L32" s="89"/>
      <c r="M32" s="91"/>
      <c r="N32" s="110">
        <f>N16</f>
        <v>0.15619018774577387</v>
      </c>
      <c r="O32" s="265">
        <f t="shared" ref="O32:X32" si="10">O16</f>
        <v>0.157063065689171</v>
      </c>
      <c r="P32" s="265">
        <f t="shared" si="10"/>
        <v>0.1554765362150366</v>
      </c>
      <c r="Q32" s="111">
        <f t="shared" si="10"/>
        <v>0.15544686217296214</v>
      </c>
      <c r="R32" s="111">
        <f t="shared" si="10"/>
        <v>0.15546812971268742</v>
      </c>
      <c r="S32" s="111">
        <f t="shared" si="10"/>
        <v>0.15548907323873579</v>
      </c>
      <c r="T32" s="111">
        <f t="shared" si="10"/>
        <v>0.15550972631192855</v>
      </c>
      <c r="U32" s="111">
        <f t="shared" si="10"/>
        <v>0.15553011677157316</v>
      </c>
      <c r="V32" s="111">
        <f t="shared" si="10"/>
        <v>0.15555026796942628</v>
      </c>
      <c r="W32" s="111">
        <f t="shared" si="10"/>
        <v>0.15557019968811558</v>
      </c>
      <c r="X32" s="110">
        <f t="shared" si="10"/>
        <v>0.15558992883615139</v>
      </c>
    </row>
    <row r="33" spans="2:29" x14ac:dyDescent="0.25">
      <c r="B33" s="98" t="s">
        <v>136</v>
      </c>
      <c r="C33" s="24" t="s">
        <v>34</v>
      </c>
      <c r="E33" s="112"/>
      <c r="F33" s="112"/>
      <c r="G33" s="112"/>
      <c r="H33" s="112"/>
      <c r="I33" s="112"/>
      <c r="J33" s="112"/>
      <c r="K33" s="112"/>
      <c r="L33" s="112"/>
      <c r="M33" s="256"/>
      <c r="N33" s="176">
        <v>7.5999999999999998E-2</v>
      </c>
      <c r="O33" s="263">
        <v>7.5999999999999998E-2</v>
      </c>
      <c r="P33" s="263">
        <v>7.5999999999999998E-2</v>
      </c>
      <c r="Q33" s="102">
        <f>P33</f>
        <v>7.5999999999999998E-2</v>
      </c>
      <c r="R33" s="102">
        <f t="shared" ref="R33:X33" si="11">Q33</f>
        <v>7.5999999999999998E-2</v>
      </c>
      <c r="S33" s="102">
        <f t="shared" si="11"/>
        <v>7.5999999999999998E-2</v>
      </c>
      <c r="T33" s="102">
        <f t="shared" si="11"/>
        <v>7.5999999999999998E-2</v>
      </c>
      <c r="U33" s="102">
        <f t="shared" si="11"/>
        <v>7.5999999999999998E-2</v>
      </c>
      <c r="V33" s="102">
        <f t="shared" si="11"/>
        <v>7.5999999999999998E-2</v>
      </c>
      <c r="W33" s="102">
        <f t="shared" si="11"/>
        <v>7.5999999999999998E-2</v>
      </c>
      <c r="X33" s="103">
        <f t="shared" si="11"/>
        <v>7.5999999999999998E-2</v>
      </c>
    </row>
    <row r="34" spans="2:29" x14ac:dyDescent="0.25">
      <c r="B34" s="98" t="s">
        <v>116</v>
      </c>
      <c r="C34" s="24" t="s">
        <v>36</v>
      </c>
      <c r="M34" s="8"/>
      <c r="N34" s="25">
        <f>N32*N31</f>
        <v>653.9092944764011</v>
      </c>
      <c r="O34" s="262">
        <f>O32*O31</f>
        <v>704.83897899536532</v>
      </c>
      <c r="P34" s="262">
        <f>P32*P31</f>
        <v>722.23384784234963</v>
      </c>
      <c r="Q34" s="40">
        <f t="shared" ref="Q34:X34" si="12">Q32*Q31</f>
        <v>716.93184993635032</v>
      </c>
      <c r="R34" s="40">
        <f t="shared" si="12"/>
        <v>716.92801061664227</v>
      </c>
      <c r="S34" s="40">
        <f t="shared" si="12"/>
        <v>716.99925133198701</v>
      </c>
      <c r="T34" s="40">
        <f t="shared" si="12"/>
        <v>717.13646254250511</v>
      </c>
      <c r="U34" s="40">
        <f t="shared" si="12"/>
        <v>717.33209821359867</v>
      </c>
      <c r="V34" s="40">
        <f t="shared" si="12"/>
        <v>717.5798372955785</v>
      </c>
      <c r="W34" s="40">
        <f t="shared" si="12"/>
        <v>717.87433213569477</v>
      </c>
      <c r="X34" s="25">
        <f t="shared" si="12"/>
        <v>718.21101833701459</v>
      </c>
    </row>
    <row r="35" spans="2:29" x14ac:dyDescent="0.25">
      <c r="B35" s="105" t="s">
        <v>121</v>
      </c>
      <c r="C35" s="189" t="s">
        <v>36</v>
      </c>
      <c r="D35" s="12"/>
      <c r="E35" s="12"/>
      <c r="F35" s="12"/>
      <c r="G35" s="12"/>
      <c r="H35" s="12"/>
      <c r="I35" s="12"/>
      <c r="J35" s="12"/>
      <c r="K35" s="12"/>
      <c r="L35" s="12"/>
      <c r="M35" s="13"/>
      <c r="N35" s="275">
        <f>N34*N33</f>
        <v>49.697106380206485</v>
      </c>
      <c r="O35" s="267">
        <f>O34*O33</f>
        <v>53.567762403647762</v>
      </c>
      <c r="P35" s="267">
        <f>P34*P33</f>
        <v>54.889772436018568</v>
      </c>
      <c r="Q35" s="37">
        <f t="shared" ref="Q35:X35" si="13">Q34*Q33</f>
        <v>54.486820595162619</v>
      </c>
      <c r="R35" s="37">
        <f t="shared" si="13"/>
        <v>54.486528806864811</v>
      </c>
      <c r="S35" s="37">
        <f t="shared" si="13"/>
        <v>54.491943101231008</v>
      </c>
      <c r="T35" s="37">
        <f t="shared" si="13"/>
        <v>54.502371153230385</v>
      </c>
      <c r="U35" s="37">
        <f t="shared" si="13"/>
        <v>54.517239464233498</v>
      </c>
      <c r="V35" s="37">
        <f t="shared" si="13"/>
        <v>54.536067634463961</v>
      </c>
      <c r="W35" s="37">
        <f t="shared" si="13"/>
        <v>54.558449242312804</v>
      </c>
      <c r="X35" s="38">
        <f t="shared" si="13"/>
        <v>54.584037393613109</v>
      </c>
    </row>
    <row r="36" spans="2:29" x14ac:dyDescent="0.25">
      <c r="B36" s="104" t="s">
        <v>94</v>
      </c>
      <c r="C36" s="24" t="s">
        <v>36</v>
      </c>
      <c r="M36" s="8"/>
      <c r="N36" s="25">
        <f t="shared" ref="N36:X36" si="14">N20</f>
        <v>978.32</v>
      </c>
      <c r="O36" s="262">
        <f t="shared" si="14"/>
        <v>949.00800000000004</v>
      </c>
      <c r="P36" s="262">
        <f t="shared" si="14"/>
        <v>1011.777</v>
      </c>
      <c r="Q36" s="40">
        <f t="shared" si="14"/>
        <v>1056.981</v>
      </c>
      <c r="R36" s="40">
        <f t="shared" si="14"/>
        <v>1102.1850000000002</v>
      </c>
      <c r="S36" s="40">
        <f t="shared" si="14"/>
        <v>1142.99775</v>
      </c>
      <c r="T36" s="40">
        <f t="shared" si="14"/>
        <v>1191.4951874999999</v>
      </c>
      <c r="U36" s="40">
        <f t="shared" si="14"/>
        <v>1236.4247343750001</v>
      </c>
      <c r="V36" s="40">
        <f t="shared" si="14"/>
        <v>1281.28566796875</v>
      </c>
      <c r="W36" s="40">
        <f t="shared" si="14"/>
        <v>1326.0608349609374</v>
      </c>
      <c r="X36" s="25">
        <f t="shared" si="14"/>
        <v>1371.8266062011719</v>
      </c>
    </row>
    <row r="37" spans="2:29" x14ac:dyDescent="0.25">
      <c r="B37" s="98" t="s">
        <v>138</v>
      </c>
      <c r="C37" s="24" t="s">
        <v>34</v>
      </c>
      <c r="M37" s="8"/>
      <c r="N37" s="103">
        <v>0.19</v>
      </c>
      <c r="O37" s="263">
        <v>0.19</v>
      </c>
      <c r="P37" s="263">
        <v>0.19</v>
      </c>
      <c r="Q37" s="102">
        <v>0.19</v>
      </c>
      <c r="R37" s="102">
        <v>0.19</v>
      </c>
      <c r="S37" s="102">
        <v>0.19</v>
      </c>
      <c r="T37" s="102">
        <v>0.19</v>
      </c>
      <c r="U37" s="102">
        <v>0.19</v>
      </c>
      <c r="V37" s="102">
        <v>0.19</v>
      </c>
      <c r="W37" s="102">
        <v>0.19</v>
      </c>
      <c r="X37" s="103">
        <v>0.19</v>
      </c>
    </row>
    <row r="38" spans="2:29" x14ac:dyDescent="0.25">
      <c r="B38" s="98" t="s">
        <v>137</v>
      </c>
      <c r="C38" s="24" t="s">
        <v>34</v>
      </c>
      <c r="M38" s="8"/>
      <c r="N38" s="176">
        <v>4.3799999999999999E-2</v>
      </c>
      <c r="O38" s="263">
        <v>4.3799999999999999E-2</v>
      </c>
      <c r="P38" s="263">
        <v>4.3799999999999999E-2</v>
      </c>
      <c r="Q38" s="102">
        <v>4.3799999999999999E-2</v>
      </c>
      <c r="R38" s="102">
        <v>4.3799999999999999E-2</v>
      </c>
      <c r="S38" s="102">
        <v>4.3799999999999999E-2</v>
      </c>
      <c r="T38" s="102">
        <v>4.3799999999999999E-2</v>
      </c>
      <c r="U38" s="102">
        <v>4.3799999999999999E-2</v>
      </c>
      <c r="V38" s="102">
        <v>4.3799999999999999E-2</v>
      </c>
      <c r="W38" s="102">
        <v>4.3799999999999999E-2</v>
      </c>
      <c r="X38" s="103">
        <v>4.3799999999999999E-2</v>
      </c>
    </row>
    <row r="39" spans="2:29" x14ac:dyDescent="0.25">
      <c r="B39" s="98" t="s">
        <v>116</v>
      </c>
      <c r="C39" s="24" t="s">
        <v>36</v>
      </c>
      <c r="M39" s="8"/>
      <c r="N39" s="25">
        <f>N36*N37</f>
        <v>185.88080000000002</v>
      </c>
      <c r="O39" s="262">
        <f>O36*O37</f>
        <v>180.31152</v>
      </c>
      <c r="P39" s="262">
        <f>P36*P37</f>
        <v>192.23763000000002</v>
      </c>
      <c r="Q39" s="40">
        <f t="shared" ref="Q39:X39" si="15">Q36*Q37</f>
        <v>200.82639</v>
      </c>
      <c r="R39" s="40">
        <f t="shared" si="15"/>
        <v>209.41515000000004</v>
      </c>
      <c r="S39" s="40">
        <f t="shared" si="15"/>
        <v>217.16957250000002</v>
      </c>
      <c r="T39" s="40">
        <f t="shared" si="15"/>
        <v>226.38408562499998</v>
      </c>
      <c r="U39" s="40">
        <f t="shared" si="15"/>
        <v>234.92069953125002</v>
      </c>
      <c r="V39" s="40">
        <f t="shared" si="15"/>
        <v>243.4442769140625</v>
      </c>
      <c r="W39" s="40">
        <f t="shared" si="15"/>
        <v>251.95155864257811</v>
      </c>
      <c r="X39" s="25">
        <f t="shared" si="15"/>
        <v>260.64705517822267</v>
      </c>
    </row>
    <row r="40" spans="2:29" x14ac:dyDescent="0.25">
      <c r="B40" s="105" t="s">
        <v>121</v>
      </c>
      <c r="C40" s="189" t="s">
        <v>36</v>
      </c>
      <c r="D40" s="12"/>
      <c r="E40" s="12"/>
      <c r="F40" s="12"/>
      <c r="G40" s="12"/>
      <c r="H40" s="12"/>
      <c r="I40" s="12"/>
      <c r="J40" s="12"/>
      <c r="K40" s="12"/>
      <c r="L40" s="12"/>
      <c r="M40" s="13"/>
      <c r="N40" s="275">
        <f>N39*N38</f>
        <v>8.1415790399999999</v>
      </c>
      <c r="O40" s="267">
        <f>O39*O38</f>
        <v>7.8976445760000002</v>
      </c>
      <c r="P40" s="267">
        <f>P39*P38</f>
        <v>8.4200081940000011</v>
      </c>
      <c r="Q40" s="37">
        <f t="shared" ref="Q40:X40" si="16">Q39*Q38</f>
        <v>8.7961958819999992</v>
      </c>
      <c r="R40" s="37">
        <f t="shared" si="16"/>
        <v>9.1723835700000009</v>
      </c>
      <c r="S40" s="37">
        <f t="shared" si="16"/>
        <v>9.5120272754999995</v>
      </c>
      <c r="T40" s="37">
        <f t="shared" si="16"/>
        <v>9.9156229503749991</v>
      </c>
      <c r="U40" s="37">
        <f t="shared" si="16"/>
        <v>10.28952663946875</v>
      </c>
      <c r="V40" s="37">
        <f t="shared" si="16"/>
        <v>10.662859328835937</v>
      </c>
      <c r="W40" s="37">
        <f t="shared" si="16"/>
        <v>11.035478268544921</v>
      </c>
      <c r="X40" s="38">
        <f t="shared" si="16"/>
        <v>11.416341016806152</v>
      </c>
    </row>
    <row r="41" spans="2:29" x14ac:dyDescent="0.25">
      <c r="B41" s="149" t="s">
        <v>139</v>
      </c>
      <c r="C41" s="24" t="s">
        <v>34</v>
      </c>
      <c r="D41" s="7"/>
      <c r="E41" s="7"/>
      <c r="F41" s="7"/>
      <c r="G41" s="7"/>
      <c r="H41" s="7"/>
      <c r="I41" s="7"/>
      <c r="J41" s="7"/>
      <c r="K41" s="7"/>
      <c r="L41" s="7"/>
      <c r="M41" s="8"/>
      <c r="N41" s="176">
        <f>N42/(N36+N31)</f>
        <v>0.16259428962633915</v>
      </c>
      <c r="O41" s="262"/>
      <c r="P41" s="263">
        <f>(P39+P34)/(P31+P36)</f>
        <v>0.16165112045313204</v>
      </c>
      <c r="Q41" s="40"/>
      <c r="R41" s="40"/>
      <c r="S41" s="40"/>
      <c r="T41" s="40"/>
      <c r="U41" s="40"/>
      <c r="V41" s="40"/>
      <c r="W41" s="40"/>
      <c r="X41" s="25"/>
    </row>
    <row r="42" spans="2:29" x14ac:dyDescent="0.25">
      <c r="B42" s="19" t="s">
        <v>118</v>
      </c>
      <c r="C42" s="24" t="s">
        <v>36</v>
      </c>
      <c r="M42" s="8"/>
      <c r="N42" s="25">
        <f>N39+N34</f>
        <v>839.79009447640112</v>
      </c>
      <c r="O42" s="262">
        <f>O39+O34</f>
        <v>885.1504989953653</v>
      </c>
      <c r="P42" s="262">
        <f t="shared" ref="O42:X43" si="17">P39+P34</f>
        <v>914.47147784234971</v>
      </c>
      <c r="Q42" s="40">
        <f t="shared" si="17"/>
        <v>917.75823993635026</v>
      </c>
      <c r="R42" s="40">
        <f t="shared" si="17"/>
        <v>926.34316061664231</v>
      </c>
      <c r="S42" s="40">
        <f t="shared" si="17"/>
        <v>934.16882383198708</v>
      </c>
      <c r="T42" s="40">
        <f t="shared" si="17"/>
        <v>943.52054816750513</v>
      </c>
      <c r="U42" s="40">
        <f t="shared" si="17"/>
        <v>952.25279774484875</v>
      </c>
      <c r="V42" s="40">
        <f t="shared" si="17"/>
        <v>961.02411420964097</v>
      </c>
      <c r="W42" s="40">
        <f t="shared" si="17"/>
        <v>969.82589077827288</v>
      </c>
      <c r="X42" s="25">
        <f t="shared" si="17"/>
        <v>978.85807351523727</v>
      </c>
    </row>
    <row r="43" spans="2:29" x14ac:dyDescent="0.25">
      <c r="B43" s="19" t="s">
        <v>119</v>
      </c>
      <c r="C43" s="24" t="s">
        <v>36</v>
      </c>
      <c r="M43" s="8"/>
      <c r="N43" s="276">
        <f>N40+N35</f>
        <v>57.838685420206488</v>
      </c>
      <c r="O43" s="278">
        <f t="shared" si="17"/>
        <v>61.46540697964776</v>
      </c>
      <c r="P43" s="278">
        <f>P40+P35</f>
        <v>63.309780630018565</v>
      </c>
      <c r="Q43" s="279">
        <f t="shared" si="17"/>
        <v>63.283016477162619</v>
      </c>
      <c r="R43" s="279">
        <f t="shared" si="17"/>
        <v>63.658912376864812</v>
      </c>
      <c r="S43" s="279">
        <f t="shared" si="17"/>
        <v>64.003970376731004</v>
      </c>
      <c r="T43" s="279">
        <f t="shared" si="17"/>
        <v>64.41799410360538</v>
      </c>
      <c r="U43" s="279">
        <f t="shared" si="17"/>
        <v>64.806766103702245</v>
      </c>
      <c r="V43" s="279">
        <f t="shared" si="17"/>
        <v>65.198926963299897</v>
      </c>
      <c r="W43" s="279">
        <f t="shared" si="17"/>
        <v>65.593927510857725</v>
      </c>
      <c r="X43" s="277">
        <f t="shared" si="17"/>
        <v>66.000378410419259</v>
      </c>
      <c r="Z43" s="42"/>
    </row>
    <row r="44" spans="2:29" x14ac:dyDescent="0.25">
      <c r="B44" s="106" t="s">
        <v>117</v>
      </c>
      <c r="C44" s="189" t="s">
        <v>34</v>
      </c>
      <c r="D44" s="12"/>
      <c r="E44" s="12"/>
      <c r="F44" s="12"/>
      <c r="G44" s="12"/>
      <c r="H44" s="12"/>
      <c r="I44" s="12"/>
      <c r="J44" s="12"/>
      <c r="K44" s="12"/>
      <c r="L44" s="12"/>
      <c r="M44" s="13"/>
      <c r="N44" s="178">
        <f>N43/N42</f>
        <v>6.8872788332027424E-2</v>
      </c>
      <c r="O44" s="270">
        <f>O43/O42</f>
        <v>6.9440628513919633E-2</v>
      </c>
      <c r="P44" s="270">
        <f>P43/P42</f>
        <v>6.923100628506737E-2</v>
      </c>
      <c r="Q44" s="107">
        <f t="shared" ref="Q44:X44" si="18">Q43/Q42</f>
        <v>6.8953907165738459E-2</v>
      </c>
      <c r="R44" s="107">
        <f t="shared" si="18"/>
        <v>6.8720658912717336E-2</v>
      </c>
      <c r="S44" s="107">
        <f t="shared" si="18"/>
        <v>6.851435066542351E-2</v>
      </c>
      <c r="T44" s="107">
        <f t="shared" si="18"/>
        <v>6.8274076519814306E-2</v>
      </c>
      <c r="U44" s="107">
        <f t="shared" si="18"/>
        <v>6.8056262220682798E-2</v>
      </c>
      <c r="V44" s="107">
        <f t="shared" si="18"/>
        <v>6.7843174795796213E-2</v>
      </c>
      <c r="W44" s="107">
        <f t="shared" si="18"/>
        <v>6.7634745715253519E-2</v>
      </c>
      <c r="X44" s="108">
        <f t="shared" si="18"/>
        <v>6.7425891654957951E-2</v>
      </c>
      <c r="Z44" s="35" t="s">
        <v>184</v>
      </c>
      <c r="AA44" s="7"/>
      <c r="AB44" s="7"/>
      <c r="AC44" s="7"/>
    </row>
    <row r="45" spans="2:29" x14ac:dyDescent="0.25">
      <c r="B45" s="144" t="s">
        <v>122</v>
      </c>
      <c r="C45" s="254" t="s">
        <v>34</v>
      </c>
      <c r="D45" s="43"/>
      <c r="E45" s="43"/>
      <c r="F45" s="43"/>
      <c r="G45" s="43"/>
      <c r="H45" s="43"/>
      <c r="I45" s="43"/>
      <c r="J45" s="43"/>
      <c r="K45" s="43"/>
      <c r="L45" s="43"/>
      <c r="M45" s="44"/>
      <c r="N45" s="146"/>
      <c r="O45" s="266"/>
      <c r="P45" s="266">
        <f>(P44/P28-1)</f>
        <v>-0.6017837092428524</v>
      </c>
      <c r="Q45" s="145">
        <f t="shared" ref="Q45:X45" si="19">(Q44/Q28-1)</f>
        <v>-0.60176170579057031</v>
      </c>
      <c r="R45" s="145">
        <f t="shared" si="19"/>
        <v>-0.60174172157006223</v>
      </c>
      <c r="S45" s="145">
        <f t="shared" si="19"/>
        <v>-0.60172382788861145</v>
      </c>
      <c r="T45" s="145">
        <f t="shared" si="19"/>
        <v>-0.60170304616119696</v>
      </c>
      <c r="U45" s="145">
        <f t="shared" si="19"/>
        <v>-0.60168400173781289</v>
      </c>
      <c r="V45" s="145">
        <f t="shared" si="19"/>
        <v>-0.60166524863597015</v>
      </c>
      <c r="W45" s="145">
        <f t="shared" si="19"/>
        <v>-0.60164678724061182</v>
      </c>
      <c r="X45" s="146">
        <f t="shared" si="19"/>
        <v>-0.6016281943624544</v>
      </c>
      <c r="Z45" s="579">
        <v>2689.2512207</v>
      </c>
      <c r="AA45" s="579">
        <f>Z45+ABS(P46)</f>
        <v>2784.9248420539752</v>
      </c>
      <c r="AB45" s="589">
        <f>(AA45/Z45-1)*100</f>
        <v>3.5576304890203581</v>
      </c>
      <c r="AC45" s="643">
        <f>P46/Z45</f>
        <v>-3.5576304890203518E-2</v>
      </c>
    </row>
    <row r="46" spans="2:29" x14ac:dyDescent="0.25">
      <c r="B46" s="114" t="s">
        <v>123</v>
      </c>
      <c r="C46" s="257"/>
      <c r="D46" s="115"/>
      <c r="E46" s="115"/>
      <c r="F46" s="115"/>
      <c r="G46" s="115"/>
      <c r="H46" s="115"/>
      <c r="I46" s="115"/>
      <c r="J46" s="115"/>
      <c r="K46" s="115"/>
      <c r="L46" s="115"/>
      <c r="M46" s="257"/>
      <c r="N46" s="271">
        <f t="shared" ref="N46:X46" si="20">N43-N27</f>
        <v>-85.966834519793522</v>
      </c>
      <c r="O46" s="272">
        <f t="shared" si="20"/>
        <v>-92.079667751506094</v>
      </c>
      <c r="P46" s="537">
        <f>P43-P27</f>
        <v>-95.673621353975193</v>
      </c>
      <c r="Q46" s="273">
        <f>Q43-Q27</f>
        <v>-95.624394983079043</v>
      </c>
      <c r="R46" s="273">
        <f t="shared" si="20"/>
        <v>-96.184374818140213</v>
      </c>
      <c r="S46" s="273">
        <f t="shared" si="20"/>
        <v>-96.698514126485989</v>
      </c>
      <c r="T46" s="273">
        <f t="shared" si="20"/>
        <v>-97.315590556638696</v>
      </c>
      <c r="U46" s="273">
        <f t="shared" si="20"/>
        <v>-97.895124823219305</v>
      </c>
      <c r="V46" s="273">
        <f t="shared" si="20"/>
        <v>-98.479804907412444</v>
      </c>
      <c r="W46" s="273">
        <f t="shared" si="20"/>
        <v>-99.06880247314146</v>
      </c>
      <c r="X46" s="438">
        <f t="shared" si="20"/>
        <v>-99.674946691450558</v>
      </c>
      <c r="Z46" s="578"/>
      <c r="AA46" s="578"/>
      <c r="AB46" s="607"/>
      <c r="AC46" s="642"/>
    </row>
    <row r="47" spans="2:29" x14ac:dyDescent="0.25">
      <c r="C47" s="8"/>
      <c r="X47" s="8"/>
    </row>
    <row r="48" spans="2:29" x14ac:dyDescent="0.25">
      <c r="B48" s="295" t="s">
        <v>438</v>
      </c>
      <c r="C48" s="24" t="s">
        <v>36</v>
      </c>
      <c r="N48" s="2">
        <v>249.8</v>
      </c>
      <c r="P48" s="40">
        <v>250</v>
      </c>
      <c r="Q48" s="40">
        <f>P48+(1+(Q42/P42-1)*100/100)</f>
        <v>251.00359416578169</v>
      </c>
      <c r="R48" s="40">
        <f t="shared" ref="R48:X48" si="21">Q48+(1+(R42/Q42-1)*100/100)</f>
        <v>252.01294839471336</v>
      </c>
      <c r="S48" s="40">
        <f t="shared" si="21"/>
        <v>253.02139630424415</v>
      </c>
      <c r="T48" s="40">
        <f t="shared" si="21"/>
        <v>254.03140704758832</v>
      </c>
      <c r="U48" s="40">
        <f t="shared" si="21"/>
        <v>255.04066201251123</v>
      </c>
      <c r="V48" s="40">
        <f t="shared" si="21"/>
        <v>256.0498731342696</v>
      </c>
      <c r="W48" s="40">
        <f t="shared" si="21"/>
        <v>257.05903188110904</v>
      </c>
      <c r="X48" s="25">
        <f t="shared" si="21"/>
        <v>258.0683450813678</v>
      </c>
    </row>
    <row r="49" spans="2:24" x14ac:dyDescent="0.25">
      <c r="B49" s="295" t="s">
        <v>439</v>
      </c>
      <c r="C49" s="24" t="s">
        <v>36</v>
      </c>
      <c r="P49" s="40">
        <f>P48+(ABS(P46))</f>
        <v>345.67362135397519</v>
      </c>
      <c r="Q49" s="40">
        <f t="shared" ref="Q49:X49" si="22">Q48+(ABS(Q46))</f>
        <v>346.62798914886071</v>
      </c>
      <c r="R49" s="40">
        <f t="shared" si="22"/>
        <v>348.19732321285358</v>
      </c>
      <c r="S49" s="40">
        <f t="shared" si="22"/>
        <v>349.71991043073012</v>
      </c>
      <c r="T49" s="40">
        <f t="shared" si="22"/>
        <v>351.346997604227</v>
      </c>
      <c r="U49" s="40">
        <f t="shared" si="22"/>
        <v>352.93578683573054</v>
      </c>
      <c r="V49" s="40">
        <f t="shared" si="22"/>
        <v>354.52967804168202</v>
      </c>
      <c r="W49" s="40">
        <f t="shared" si="22"/>
        <v>356.12783435425047</v>
      </c>
      <c r="X49" s="25">
        <f t="shared" si="22"/>
        <v>357.74329177281834</v>
      </c>
    </row>
    <row r="50" spans="2:24" x14ac:dyDescent="0.25">
      <c r="B50" s="295" t="s">
        <v>174</v>
      </c>
      <c r="C50" s="24" t="s">
        <v>36</v>
      </c>
      <c r="P50" s="40">
        <f>P49*70%</f>
        <v>241.97153494778263</v>
      </c>
      <c r="Q50" s="40">
        <f t="shared" ref="Q50:X50" si="23">Q49*70%</f>
        <v>242.63959240420249</v>
      </c>
      <c r="R50" s="40">
        <f t="shared" si="23"/>
        <v>243.73812624899747</v>
      </c>
      <c r="S50" s="40">
        <f t="shared" si="23"/>
        <v>244.80393730151107</v>
      </c>
      <c r="T50" s="40">
        <f t="shared" si="23"/>
        <v>245.94289832295888</v>
      </c>
      <c r="U50" s="40">
        <f t="shared" si="23"/>
        <v>247.05505078501136</v>
      </c>
      <c r="V50" s="40">
        <f t="shared" si="23"/>
        <v>248.1707746291774</v>
      </c>
      <c r="W50" s="40">
        <f t="shared" si="23"/>
        <v>249.28948404797532</v>
      </c>
      <c r="X50" s="25">
        <f t="shared" si="23"/>
        <v>250.42030424097283</v>
      </c>
    </row>
    <row r="51" spans="2:24" x14ac:dyDescent="0.25">
      <c r="B51" s="295" t="s">
        <v>157</v>
      </c>
      <c r="C51" s="24" t="s">
        <v>36</v>
      </c>
      <c r="P51" s="40">
        <f>P49*13%</f>
        <v>44.937570776016777</v>
      </c>
      <c r="Q51" s="40">
        <f t="shared" ref="Q51:X51" si="24">Q49*13%</f>
        <v>45.061638589351894</v>
      </c>
      <c r="R51" s="40">
        <f t="shared" si="24"/>
        <v>45.265652017670966</v>
      </c>
      <c r="S51" s="40">
        <f t="shared" si="24"/>
        <v>45.463588355994915</v>
      </c>
      <c r="T51" s="40">
        <f t="shared" si="24"/>
        <v>45.675109688549512</v>
      </c>
      <c r="U51" s="40">
        <f t="shared" si="24"/>
        <v>45.881652288644972</v>
      </c>
      <c r="V51" s="40">
        <f t="shared" si="24"/>
        <v>46.088858145418662</v>
      </c>
      <c r="W51" s="40">
        <f t="shared" si="24"/>
        <v>46.296618466052564</v>
      </c>
      <c r="X51" s="25">
        <f t="shared" si="24"/>
        <v>46.506627930466387</v>
      </c>
    </row>
    <row r="52" spans="2:24" x14ac:dyDescent="0.25">
      <c r="B52" s="295" t="s">
        <v>158</v>
      </c>
      <c r="C52" s="24" t="s">
        <v>36</v>
      </c>
      <c r="P52" s="40">
        <f>P49*17%</f>
        <v>58.764515630175786</v>
      </c>
      <c r="Q52" s="40">
        <f t="shared" ref="Q52:X52" si="25">Q49*17%</f>
        <v>58.926758155306324</v>
      </c>
      <c r="R52" s="40">
        <f t="shared" si="25"/>
        <v>59.193544946185114</v>
      </c>
      <c r="S52" s="40">
        <f t="shared" si="25"/>
        <v>59.452384773224125</v>
      </c>
      <c r="T52" s="40">
        <f t="shared" si="25"/>
        <v>59.728989592718591</v>
      </c>
      <c r="U52" s="40">
        <f t="shared" si="25"/>
        <v>59.999083762074193</v>
      </c>
      <c r="V52" s="40">
        <f t="shared" si="25"/>
        <v>60.270045267085948</v>
      </c>
      <c r="W52" s="40">
        <f t="shared" si="25"/>
        <v>60.541731840222582</v>
      </c>
      <c r="X52" s="25">
        <f t="shared" si="25"/>
        <v>60.816359601379119</v>
      </c>
    </row>
    <row r="53" spans="2:24" x14ac:dyDescent="0.25">
      <c r="B53" s="295"/>
      <c r="C53" s="24"/>
      <c r="P53" s="40"/>
      <c r="Q53" s="40"/>
      <c r="R53" s="40"/>
      <c r="S53" s="40"/>
      <c r="T53" s="40"/>
      <c r="U53" s="40"/>
      <c r="V53" s="40"/>
      <c r="W53" s="40"/>
      <c r="X53" s="25"/>
    </row>
    <row r="54" spans="2:24" x14ac:dyDescent="0.25">
      <c r="B54" s="295"/>
      <c r="C54" s="24"/>
      <c r="P54" s="40"/>
      <c r="Q54" s="40"/>
      <c r="R54" s="40"/>
      <c r="S54" s="40"/>
      <c r="T54" s="40"/>
      <c r="U54" s="40"/>
      <c r="V54" s="40"/>
      <c r="W54" s="40"/>
      <c r="X54" s="25"/>
    </row>
    <row r="55" spans="2:24" x14ac:dyDescent="0.25">
      <c r="C55" s="8"/>
      <c r="X55" s="8"/>
    </row>
    <row r="56" spans="2:24" x14ac:dyDescent="0.25">
      <c r="B56" s="43"/>
      <c r="C56" s="44"/>
      <c r="D56" s="281" t="s">
        <v>13</v>
      </c>
      <c r="E56" s="281" t="s">
        <v>14</v>
      </c>
      <c r="F56" s="281" t="s">
        <v>15</v>
      </c>
      <c r="G56" s="281" t="s">
        <v>16</v>
      </c>
      <c r="H56" s="281" t="s">
        <v>17</v>
      </c>
      <c r="I56" s="281" t="s">
        <v>18</v>
      </c>
      <c r="J56" s="281" t="s">
        <v>19</v>
      </c>
      <c r="K56" s="281" t="s">
        <v>20</v>
      </c>
      <c r="L56" s="281" t="s">
        <v>21</v>
      </c>
      <c r="M56" s="284" t="s">
        <v>11</v>
      </c>
      <c r="N56" s="284" t="s">
        <v>8</v>
      </c>
      <c r="O56" s="433" t="s">
        <v>22</v>
      </c>
      <c r="P56" s="281" t="s">
        <v>23</v>
      </c>
      <c r="Q56" s="281" t="s">
        <v>24</v>
      </c>
      <c r="R56" s="281" t="s">
        <v>25</v>
      </c>
      <c r="S56" s="281" t="s">
        <v>26</v>
      </c>
      <c r="T56" s="281" t="s">
        <v>27</v>
      </c>
      <c r="U56" s="281" t="s">
        <v>28</v>
      </c>
      <c r="V56" s="281" t="s">
        <v>29</v>
      </c>
      <c r="W56" s="281" t="s">
        <v>30</v>
      </c>
      <c r="X56" s="284" t="s">
        <v>31</v>
      </c>
    </row>
    <row r="57" spans="2:24" x14ac:dyDescent="0.25">
      <c r="B57" s="295" t="s">
        <v>251</v>
      </c>
      <c r="C57" s="8"/>
      <c r="D57" s="304"/>
      <c r="E57" s="304"/>
      <c r="F57" s="304"/>
      <c r="G57" s="304"/>
      <c r="H57" s="304"/>
      <c r="I57" s="304"/>
      <c r="J57" s="304"/>
      <c r="K57" s="304"/>
      <c r="L57" s="304"/>
      <c r="M57" s="305"/>
      <c r="N57" s="305"/>
      <c r="O57" s="434"/>
      <c r="P57" s="306"/>
      <c r="Q57" s="306"/>
      <c r="R57" s="306"/>
      <c r="S57" s="306"/>
      <c r="T57" s="306"/>
      <c r="U57" s="306"/>
      <c r="V57" s="306"/>
      <c r="W57" s="306"/>
      <c r="X57" s="307"/>
    </row>
    <row r="58" spans="2:24" x14ac:dyDescent="0.25">
      <c r="B58" s="35" t="s">
        <v>248</v>
      </c>
      <c r="C58" s="24" t="s">
        <v>36</v>
      </c>
      <c r="D58" s="7"/>
      <c r="E58" s="7"/>
      <c r="F58" s="7"/>
      <c r="G58" s="7"/>
      <c r="H58" s="7"/>
      <c r="I58" s="7"/>
      <c r="J58" s="7"/>
      <c r="K58" s="7"/>
      <c r="L58" s="7"/>
      <c r="M58" s="8"/>
      <c r="N58" s="8"/>
      <c r="O58" s="234"/>
      <c r="P58" s="40">
        <f>ABS(P49)*13%</f>
        <v>44.937570776016777</v>
      </c>
      <c r="Q58" s="40">
        <f t="shared" ref="Q58:X58" si="26">ABS(Q49)*13%</f>
        <v>45.061638589351894</v>
      </c>
      <c r="R58" s="40">
        <f t="shared" si="26"/>
        <v>45.265652017670966</v>
      </c>
      <c r="S58" s="40">
        <f t="shared" si="26"/>
        <v>45.463588355994915</v>
      </c>
      <c r="T58" s="40">
        <f t="shared" si="26"/>
        <v>45.675109688549512</v>
      </c>
      <c r="U58" s="40">
        <f t="shared" si="26"/>
        <v>45.881652288644972</v>
      </c>
      <c r="V58" s="40">
        <f t="shared" si="26"/>
        <v>46.088858145418662</v>
      </c>
      <c r="W58" s="40">
        <f t="shared" si="26"/>
        <v>46.296618466052564</v>
      </c>
      <c r="X58" s="25">
        <f t="shared" si="26"/>
        <v>46.506627930466387</v>
      </c>
    </row>
    <row r="59" spans="2:24" x14ac:dyDescent="0.25">
      <c r="B59" s="35" t="s">
        <v>249</v>
      </c>
      <c r="C59" s="24" t="s">
        <v>36</v>
      </c>
      <c r="D59" s="7"/>
      <c r="E59" s="7"/>
      <c r="F59" s="7"/>
      <c r="G59" s="7"/>
      <c r="H59" s="7"/>
      <c r="I59" s="7"/>
      <c r="J59" s="7"/>
      <c r="K59" s="7"/>
      <c r="L59" s="7"/>
      <c r="M59" s="8"/>
      <c r="N59" s="8"/>
      <c r="O59" s="234"/>
      <c r="P59" s="40">
        <f>P58</f>
        <v>44.937570776016777</v>
      </c>
      <c r="Q59" s="40">
        <f>P59+Q58</f>
        <v>89.999209365368671</v>
      </c>
      <c r="R59" s="40">
        <f t="shared" ref="R59:X59" si="27">Q59+R58</f>
        <v>135.26486138303963</v>
      </c>
      <c r="S59" s="40">
        <f t="shared" si="27"/>
        <v>180.72844973903455</v>
      </c>
      <c r="T59" s="40">
        <f t="shared" si="27"/>
        <v>226.40355942758407</v>
      </c>
      <c r="U59" s="40">
        <f t="shared" si="27"/>
        <v>272.28521171622901</v>
      </c>
      <c r="V59" s="40">
        <f t="shared" si="27"/>
        <v>318.37406986164768</v>
      </c>
      <c r="W59" s="40">
        <f t="shared" si="27"/>
        <v>364.67068832770025</v>
      </c>
      <c r="X59" s="25">
        <f t="shared" si="27"/>
        <v>411.17731625816663</v>
      </c>
    </row>
    <row r="60" spans="2:24" x14ac:dyDescent="0.25">
      <c r="B60" s="35"/>
      <c r="C60" s="24"/>
      <c r="D60" s="7"/>
      <c r="E60" s="7"/>
      <c r="F60" s="7"/>
      <c r="G60" s="7"/>
      <c r="H60" s="7"/>
      <c r="I60" s="7"/>
      <c r="J60" s="7"/>
      <c r="K60" s="7"/>
      <c r="L60" s="7"/>
      <c r="M60" s="8"/>
      <c r="N60" s="8"/>
      <c r="O60" s="234"/>
      <c r="P60" s="35"/>
      <c r="Q60" s="35"/>
      <c r="R60" s="35"/>
      <c r="S60" s="35"/>
      <c r="T60" s="35"/>
      <c r="U60" s="35"/>
      <c r="V60" s="35"/>
      <c r="W60" s="35"/>
      <c r="X60" s="24"/>
    </row>
    <row r="61" spans="2:24" x14ac:dyDescent="0.25">
      <c r="B61" s="35" t="s">
        <v>253</v>
      </c>
      <c r="C61" s="24" t="s">
        <v>36</v>
      </c>
      <c r="D61" s="7"/>
      <c r="E61" s="7"/>
      <c r="F61" s="7"/>
      <c r="G61" s="7"/>
      <c r="H61" s="7"/>
      <c r="I61" s="7"/>
      <c r="J61" s="7"/>
      <c r="K61" s="7"/>
      <c r="L61" s="7"/>
      <c r="M61" s="8"/>
      <c r="N61" s="8"/>
      <c r="O61" s="234"/>
      <c r="P61" s="53">
        <f>ABS(P49)*70%</f>
        <v>241.97153494778263</v>
      </c>
      <c r="Q61" s="53">
        <f t="shared" ref="Q61:X61" si="28">ABS(Q49)*70%</f>
        <v>242.63959240420249</v>
      </c>
      <c r="R61" s="53">
        <f t="shared" si="28"/>
        <v>243.73812624899747</v>
      </c>
      <c r="S61" s="53">
        <f t="shared" si="28"/>
        <v>244.80393730151107</v>
      </c>
      <c r="T61" s="53">
        <f t="shared" si="28"/>
        <v>245.94289832295888</v>
      </c>
      <c r="U61" s="53">
        <f t="shared" si="28"/>
        <v>247.05505078501136</v>
      </c>
      <c r="V61" s="53">
        <f t="shared" si="28"/>
        <v>248.1707746291774</v>
      </c>
      <c r="W61" s="53">
        <f t="shared" si="28"/>
        <v>249.28948404797532</v>
      </c>
      <c r="X61" s="150">
        <f t="shared" si="28"/>
        <v>250.42030424097283</v>
      </c>
    </row>
    <row r="62" spans="2:24" x14ac:dyDescent="0.25">
      <c r="B62" s="35" t="s">
        <v>254</v>
      </c>
      <c r="C62" s="24" t="s">
        <v>36</v>
      </c>
      <c r="D62" s="7"/>
      <c r="E62" s="7"/>
      <c r="F62" s="7"/>
      <c r="G62" s="7"/>
      <c r="H62" s="7"/>
      <c r="I62" s="7"/>
      <c r="J62" s="7"/>
      <c r="K62" s="7"/>
      <c r="L62" s="7"/>
      <c r="M62" s="8"/>
      <c r="N62" s="8"/>
      <c r="O62" s="234"/>
      <c r="P62" s="53">
        <f>P61</f>
        <v>241.97153494778263</v>
      </c>
      <c r="Q62" s="53">
        <f>P62+Q61</f>
        <v>484.61112735198515</v>
      </c>
      <c r="R62" s="53">
        <f t="shared" ref="R62" si="29">Q62+R61</f>
        <v>728.34925360098259</v>
      </c>
      <c r="S62" s="53">
        <f t="shared" ref="S62" si="30">R62+S61</f>
        <v>973.15319090249363</v>
      </c>
      <c r="T62" s="53">
        <f t="shared" ref="T62" si="31">S62+T61</f>
        <v>1219.0960892254525</v>
      </c>
      <c r="U62" s="53">
        <f t="shared" ref="U62" si="32">T62+U61</f>
        <v>1466.1511400104639</v>
      </c>
      <c r="V62" s="53">
        <f t="shared" ref="V62" si="33">U62+V61</f>
        <v>1714.3219146396414</v>
      </c>
      <c r="W62" s="53">
        <f t="shared" ref="W62" si="34">V62+W61</f>
        <v>1963.6113986876167</v>
      </c>
      <c r="X62" s="150">
        <f t="shared" ref="X62" si="35">W62+X61</f>
        <v>2214.0317029285893</v>
      </c>
    </row>
    <row r="63" spans="2:24" x14ac:dyDescent="0.25">
      <c r="B63" s="35"/>
      <c r="C63" s="24"/>
      <c r="D63" s="7"/>
      <c r="E63" s="7"/>
      <c r="F63" s="7"/>
      <c r="G63" s="7"/>
      <c r="H63" s="7"/>
      <c r="I63" s="7"/>
      <c r="J63" s="7"/>
      <c r="K63" s="7"/>
      <c r="L63" s="7"/>
      <c r="M63" s="8"/>
      <c r="N63" s="8"/>
      <c r="O63" s="234"/>
      <c r="P63" s="35"/>
      <c r="Q63" s="35"/>
      <c r="R63" s="35"/>
      <c r="S63" s="35"/>
      <c r="T63" s="35"/>
      <c r="U63" s="35"/>
      <c r="V63" s="35"/>
      <c r="W63" s="35"/>
      <c r="X63" s="24"/>
    </row>
    <row r="64" spans="2:24" x14ac:dyDescent="0.25">
      <c r="B64" s="35" t="s">
        <v>255</v>
      </c>
      <c r="C64" s="24" t="s">
        <v>36</v>
      </c>
      <c r="D64" s="7"/>
      <c r="E64" s="7"/>
      <c r="F64" s="7"/>
      <c r="G64" s="7"/>
      <c r="H64" s="7"/>
      <c r="I64" s="7"/>
      <c r="J64" s="7"/>
      <c r="K64" s="7"/>
      <c r="L64" s="7"/>
      <c r="M64" s="8"/>
      <c r="N64" s="8"/>
      <c r="O64" s="234"/>
      <c r="P64" s="53">
        <f>ABS(P49)*17%</f>
        <v>58.764515630175786</v>
      </c>
      <c r="Q64" s="53">
        <f t="shared" ref="Q64:X64" si="36">ABS(Q49)*17%</f>
        <v>58.926758155306324</v>
      </c>
      <c r="R64" s="53">
        <f t="shared" si="36"/>
        <v>59.193544946185114</v>
      </c>
      <c r="S64" s="53">
        <f t="shared" si="36"/>
        <v>59.452384773224125</v>
      </c>
      <c r="T64" s="53">
        <f t="shared" si="36"/>
        <v>59.728989592718591</v>
      </c>
      <c r="U64" s="53">
        <f t="shared" si="36"/>
        <v>59.999083762074193</v>
      </c>
      <c r="V64" s="53">
        <f t="shared" si="36"/>
        <v>60.270045267085948</v>
      </c>
      <c r="W64" s="53">
        <f t="shared" si="36"/>
        <v>60.541731840222582</v>
      </c>
      <c r="X64" s="150">
        <f t="shared" si="36"/>
        <v>60.816359601379119</v>
      </c>
    </row>
    <row r="65" spans="2:25" x14ac:dyDescent="0.25">
      <c r="B65" s="35" t="s">
        <v>256</v>
      </c>
      <c r="C65" s="24" t="s">
        <v>36</v>
      </c>
      <c r="D65" s="7"/>
      <c r="E65" s="7"/>
      <c r="F65" s="7"/>
      <c r="G65" s="7"/>
      <c r="H65" s="7"/>
      <c r="I65" s="7"/>
      <c r="J65" s="7"/>
      <c r="K65" s="7"/>
      <c r="L65" s="7"/>
      <c r="M65" s="8"/>
      <c r="N65" s="8"/>
      <c r="O65" s="234"/>
      <c r="P65" s="40">
        <f>P64</f>
        <v>58.764515630175786</v>
      </c>
      <c r="Q65" s="40">
        <f>P65+Q64</f>
        <v>117.69127378548211</v>
      </c>
      <c r="R65" s="40">
        <f t="shared" ref="R65" si="37">Q65+R64</f>
        <v>176.88481873166722</v>
      </c>
      <c r="S65" s="40">
        <f t="shared" ref="S65" si="38">R65+S64</f>
        <v>236.33720350489136</v>
      </c>
      <c r="T65" s="40">
        <f t="shared" ref="T65" si="39">S65+T64</f>
        <v>296.06619309760993</v>
      </c>
      <c r="U65" s="40">
        <f t="shared" ref="U65" si="40">T65+U64</f>
        <v>356.0652768596841</v>
      </c>
      <c r="V65" s="40">
        <f t="shared" ref="V65" si="41">U65+V64</f>
        <v>416.33532212677005</v>
      </c>
      <c r="W65" s="40">
        <f t="shared" ref="W65" si="42">V65+W64</f>
        <v>476.87705396699266</v>
      </c>
      <c r="X65" s="25">
        <f t="shared" ref="X65" si="43">W65+X64</f>
        <v>537.69341356837174</v>
      </c>
    </row>
    <row r="66" spans="2:25" x14ac:dyDescent="0.25">
      <c r="B66" s="35"/>
      <c r="C66" s="24"/>
      <c r="D66" s="7"/>
      <c r="E66" s="7"/>
      <c r="F66" s="7"/>
      <c r="G66" s="7"/>
      <c r="H66" s="7"/>
      <c r="I66" s="7"/>
      <c r="J66" s="7"/>
      <c r="K66" s="7"/>
      <c r="L66" s="7"/>
      <c r="M66" s="8"/>
      <c r="N66" s="8"/>
      <c r="O66" s="234"/>
      <c r="P66" s="35"/>
      <c r="Q66" s="35"/>
      <c r="R66" s="35"/>
      <c r="S66" s="35"/>
      <c r="T66" s="35"/>
      <c r="U66" s="35"/>
      <c r="V66" s="35"/>
      <c r="W66" s="35"/>
      <c r="X66" s="24"/>
    </row>
    <row r="67" spans="2:25" x14ac:dyDescent="0.25">
      <c r="B67" s="35" t="s">
        <v>247</v>
      </c>
      <c r="C67" s="24" t="s">
        <v>36</v>
      </c>
      <c r="D67" s="7"/>
      <c r="E67" s="7"/>
      <c r="F67" s="7"/>
      <c r="G67" s="7"/>
      <c r="H67" s="7"/>
      <c r="I67" s="7"/>
      <c r="J67" s="7"/>
      <c r="K67" s="7"/>
      <c r="L67" s="7"/>
      <c r="M67" s="8"/>
      <c r="N67" s="8"/>
      <c r="O67" s="234"/>
      <c r="P67" s="53">
        <f>P49</f>
        <v>345.67362135397519</v>
      </c>
      <c r="Q67" s="53">
        <f t="shared" ref="Q67:X67" si="44">Q49</f>
        <v>346.62798914886071</v>
      </c>
      <c r="R67" s="53">
        <f t="shared" si="44"/>
        <v>348.19732321285358</v>
      </c>
      <c r="S67" s="53">
        <f t="shared" si="44"/>
        <v>349.71991043073012</v>
      </c>
      <c r="T67" s="53">
        <f t="shared" si="44"/>
        <v>351.346997604227</v>
      </c>
      <c r="U67" s="53">
        <f t="shared" si="44"/>
        <v>352.93578683573054</v>
      </c>
      <c r="V67" s="53">
        <f t="shared" si="44"/>
        <v>354.52967804168202</v>
      </c>
      <c r="W67" s="53">
        <f t="shared" si="44"/>
        <v>356.12783435425047</v>
      </c>
      <c r="X67" s="150">
        <f t="shared" si="44"/>
        <v>357.74329177281834</v>
      </c>
    </row>
    <row r="68" spans="2:25" x14ac:dyDescent="0.25">
      <c r="B68" s="35" t="s">
        <v>246</v>
      </c>
      <c r="C68" s="24" t="s">
        <v>36</v>
      </c>
      <c r="D68" s="7"/>
      <c r="E68" s="7"/>
      <c r="F68" s="7"/>
      <c r="G68" s="7"/>
      <c r="H68" s="7"/>
      <c r="I68" s="7"/>
      <c r="J68" s="7"/>
      <c r="K68" s="7"/>
      <c r="L68" s="7"/>
      <c r="M68" s="8"/>
      <c r="N68" s="8"/>
      <c r="O68" s="234"/>
      <c r="P68" s="53">
        <f>P67</f>
        <v>345.67362135397519</v>
      </c>
      <c r="Q68" s="53">
        <f>P68+Q67</f>
        <v>692.30161050283596</v>
      </c>
      <c r="R68" s="53">
        <f t="shared" ref="R68:W68" si="45">Q68+R67</f>
        <v>1040.4989337156894</v>
      </c>
      <c r="S68" s="53">
        <f t="shared" si="45"/>
        <v>1390.2188441464195</v>
      </c>
      <c r="T68" s="53">
        <f t="shared" si="45"/>
        <v>1741.5658417506465</v>
      </c>
      <c r="U68" s="53">
        <f t="shared" si="45"/>
        <v>2094.5016285863771</v>
      </c>
      <c r="V68" s="53">
        <f t="shared" si="45"/>
        <v>2449.0313066280592</v>
      </c>
      <c r="W68" s="53">
        <f t="shared" si="45"/>
        <v>2805.1591409823095</v>
      </c>
      <c r="X68" s="150">
        <f>W68+X67</f>
        <v>3162.9024327551278</v>
      </c>
    </row>
    <row r="69" spans="2:25" x14ac:dyDescent="0.25">
      <c r="B69" s="35"/>
      <c r="C69" s="24"/>
      <c r="D69" s="7"/>
      <c r="E69" s="7"/>
      <c r="F69" s="7"/>
      <c r="G69" s="7"/>
      <c r="H69" s="7"/>
      <c r="I69" s="7"/>
      <c r="J69" s="7"/>
      <c r="K69" s="7"/>
      <c r="L69" s="7"/>
      <c r="M69" s="8"/>
      <c r="N69" s="8"/>
      <c r="O69" s="234"/>
      <c r="P69" s="53"/>
      <c r="Q69" s="35"/>
      <c r="R69" s="35"/>
      <c r="S69" s="35"/>
      <c r="T69" s="35"/>
      <c r="U69" s="35"/>
      <c r="V69" s="35"/>
      <c r="W69" s="35"/>
      <c r="X69" s="24"/>
    </row>
    <row r="70" spans="2:25" s="54" customFormat="1" ht="31.5" customHeight="1" x14ac:dyDescent="0.3">
      <c r="B70" s="335"/>
      <c r="C70" s="334"/>
      <c r="N70" s="204"/>
      <c r="O70" s="435"/>
      <c r="P70" s="295"/>
      <c r="Q70" s="295"/>
      <c r="R70" s="295"/>
      <c r="S70" s="295"/>
      <c r="T70" s="295"/>
      <c r="U70" s="295"/>
      <c r="V70" s="295"/>
      <c r="W70" s="295"/>
      <c r="X70" s="300"/>
    </row>
    <row r="71" spans="2:25" s="54" customFormat="1" ht="18" customHeight="1" x14ac:dyDescent="0.35">
      <c r="B71" s="484" t="s">
        <v>349</v>
      </c>
      <c r="C71" s="334"/>
      <c r="N71" s="204"/>
      <c r="O71" s="435"/>
      <c r="P71" s="295"/>
      <c r="Q71" s="295"/>
      <c r="R71" s="295"/>
      <c r="S71" s="295"/>
      <c r="T71" s="295"/>
      <c r="U71" s="295"/>
      <c r="V71" s="295"/>
      <c r="W71" s="295"/>
      <c r="X71" s="300"/>
    </row>
    <row r="72" spans="2:25" s="54" customFormat="1" ht="16.5" customHeight="1" x14ac:dyDescent="0.25">
      <c r="B72" s="56" t="s">
        <v>348</v>
      </c>
      <c r="C72" s="292" t="s">
        <v>36</v>
      </c>
      <c r="N72" s="204"/>
      <c r="O72" s="468">
        <f>'Appendix B State Taxes'!M61</f>
        <v>26191.62</v>
      </c>
      <c r="P72" s="468">
        <f>'Appendix B State Taxes'!N61</f>
        <v>27081.040000000001</v>
      </c>
      <c r="Q72" s="53">
        <f>'Appendix B State Taxes'!O61</f>
        <v>27970.46</v>
      </c>
      <c r="R72" s="53">
        <f>'Appendix B State Taxes'!P61</f>
        <v>28859.879999999997</v>
      </c>
      <c r="S72" s="53">
        <f>'Appendix B State Taxes'!Q61</f>
        <v>29749.3</v>
      </c>
      <c r="T72" s="53">
        <f>'Appendix B State Taxes'!R61</f>
        <v>30638.720000000001</v>
      </c>
      <c r="U72" s="53">
        <f>'Appendix B State Taxes'!S61</f>
        <v>31528.14</v>
      </c>
      <c r="V72" s="53">
        <f>'Appendix B State Taxes'!T61</f>
        <v>32417.559999999998</v>
      </c>
      <c r="W72" s="53">
        <f>'Appendix B State Taxes'!U61</f>
        <v>33306.979999999996</v>
      </c>
      <c r="X72" s="150">
        <f>'Appendix B State Taxes'!V61</f>
        <v>34196.399999999994</v>
      </c>
    </row>
    <row r="73" spans="2:25" s="54" customFormat="1" ht="21" customHeight="1" x14ac:dyDescent="0.25">
      <c r="B73" s="56" t="s">
        <v>333</v>
      </c>
      <c r="C73" s="292"/>
      <c r="N73" s="204"/>
      <c r="O73" s="435"/>
      <c r="P73" s="295"/>
      <c r="Q73" s="295"/>
      <c r="R73" s="295"/>
      <c r="S73" s="295"/>
      <c r="T73" s="295"/>
      <c r="U73" s="295"/>
      <c r="V73" s="295"/>
      <c r="W73" s="295"/>
      <c r="X73" s="300"/>
    </row>
    <row r="74" spans="2:25" s="54" customFormat="1" ht="17.25" customHeight="1" x14ac:dyDescent="0.25">
      <c r="B74" s="333" t="s">
        <v>334</v>
      </c>
      <c r="C74" s="292" t="s">
        <v>36</v>
      </c>
      <c r="N74" s="204"/>
      <c r="O74" s="262">
        <f>'4.Turnover'!O97</f>
        <v>171.25370662034831</v>
      </c>
      <c r="P74" s="347">
        <f>'4.Turnover'!P97</f>
        <v>178.19766093353974</v>
      </c>
      <c r="Q74" s="40">
        <f>'4.Turnover'!Q97</f>
        <v>178.57511466935338</v>
      </c>
      <c r="R74" s="40">
        <f>'4.Turnover'!R97</f>
        <v>179.97838890437998</v>
      </c>
      <c r="S74" s="40">
        <f>'4.Turnover'!S97</f>
        <v>181.25885727558884</v>
      </c>
      <c r="T74" s="40">
        <f>'4.Turnover'!T97</f>
        <v>182.79502893689252</v>
      </c>
      <c r="U74" s="40">
        <f>'4.Turnover'!U97</f>
        <v>184.23088796547802</v>
      </c>
      <c r="V74" s="40">
        <f>'4.Turnover'!V97</f>
        <v>185.67535508149763</v>
      </c>
      <c r="W74" s="40">
        <f>'4.Turnover'!W97</f>
        <v>187.12678463343474</v>
      </c>
      <c r="X74" s="25">
        <f>'4.Turnover'!X97</f>
        <v>188.6181388745523</v>
      </c>
    </row>
    <row r="75" spans="2:25" s="54" customFormat="1" ht="17.25" customHeight="1" x14ac:dyDescent="0.25">
      <c r="B75" s="333" t="s">
        <v>331</v>
      </c>
      <c r="C75" s="292" t="s">
        <v>36</v>
      </c>
      <c r="N75" s="204"/>
      <c r="O75" s="262">
        <f>'4.Turnover'!O98</f>
        <v>31.804259800921834</v>
      </c>
      <c r="P75" s="347">
        <f>'4.Turnover'!P98</f>
        <v>33.093851316228815</v>
      </c>
      <c r="Q75" s="40">
        <f>'4.Turnover'!Q98</f>
        <v>33.163949867165627</v>
      </c>
      <c r="R75" s="40">
        <f>'4.Turnover'!R98</f>
        <v>33.424557939384854</v>
      </c>
      <c r="S75" s="40">
        <f>'4.Turnover'!S98</f>
        <v>33.662359208323643</v>
      </c>
      <c r="T75" s="40">
        <f>'4.Turnover'!T98</f>
        <v>33.947648231137187</v>
      </c>
      <c r="U75" s="40">
        <f>'4.Turnover'!U98</f>
        <v>34.214307765017352</v>
      </c>
      <c r="V75" s="40">
        <f>'4.Turnover'!V98</f>
        <v>34.48256594370671</v>
      </c>
      <c r="W75" s="40">
        <f>'4.Turnover'!W98</f>
        <v>34.752117146209315</v>
      </c>
      <c r="X75" s="25">
        <f>'4.Turnover'!X98</f>
        <v>35.02908293384543</v>
      </c>
    </row>
    <row r="76" spans="2:25" s="54" customFormat="1" ht="17.25" customHeight="1" x14ac:dyDescent="0.25">
      <c r="B76" s="333" t="s">
        <v>335</v>
      </c>
      <c r="C76" s="292" t="s">
        <v>36</v>
      </c>
      <c r="N76" s="204"/>
      <c r="O76" s="262">
        <f>'4.Turnover'!O99</f>
        <v>41.590185893513166</v>
      </c>
      <c r="P76" s="347">
        <f>'4.Turnover'!P99</f>
        <v>43.276574798145369</v>
      </c>
      <c r="Q76" s="40">
        <f>'4.Turnover'!Q99</f>
        <v>43.368242133985824</v>
      </c>
      <c r="R76" s="40">
        <f>'4.Turnover'!R99</f>
        <v>43.709037305349433</v>
      </c>
      <c r="S76" s="40">
        <f>'4.Turnover'!S99</f>
        <v>44.020008195500154</v>
      </c>
      <c r="T76" s="40">
        <f>'4.Turnover'!T99</f>
        <v>44.393078456102472</v>
      </c>
      <c r="U76" s="40">
        <f>'4.Turnover'!U99</f>
        <v>44.741787077330379</v>
      </c>
      <c r="V76" s="40">
        <f>'4.Turnover'!V99</f>
        <v>45.092586234078006</v>
      </c>
      <c r="W76" s="40">
        <f>'4.Turnover'!W99</f>
        <v>45.445076268119877</v>
      </c>
      <c r="X76" s="25">
        <f>'4.Turnover'!X99</f>
        <v>45.807262298105563</v>
      </c>
    </row>
    <row r="77" spans="2:25" s="54" customFormat="1" ht="17.25" customHeight="1" x14ac:dyDescent="0.25">
      <c r="B77" s="333" t="s">
        <v>345</v>
      </c>
      <c r="C77" s="292" t="s">
        <v>36</v>
      </c>
      <c r="N77" s="204"/>
      <c r="O77" s="262">
        <f>SUM(O74:O76)</f>
        <v>244.64815231478332</v>
      </c>
      <c r="P77" s="347">
        <f t="shared" ref="P77:X77" si="46">SUM(P74:P76)</f>
        <v>254.56808704791391</v>
      </c>
      <c r="Q77" s="40">
        <f t="shared" si="46"/>
        <v>255.10730667050484</v>
      </c>
      <c r="R77" s="40">
        <f t="shared" si="46"/>
        <v>257.11198414911428</v>
      </c>
      <c r="S77" s="40">
        <f t="shared" si="46"/>
        <v>258.94122467941264</v>
      </c>
      <c r="T77" s="40">
        <f t="shared" si="46"/>
        <v>261.13575562413217</v>
      </c>
      <c r="U77" s="40">
        <f t="shared" si="46"/>
        <v>263.18698280782576</v>
      </c>
      <c r="V77" s="40">
        <f t="shared" si="46"/>
        <v>265.25050725928236</v>
      </c>
      <c r="W77" s="40">
        <f t="shared" si="46"/>
        <v>267.32397804776394</v>
      </c>
      <c r="X77" s="25">
        <f t="shared" si="46"/>
        <v>269.45448410650329</v>
      </c>
    </row>
    <row r="78" spans="2:25" s="54" customFormat="1" ht="17.25" customHeight="1" x14ac:dyDescent="0.25">
      <c r="B78" s="56" t="s">
        <v>336</v>
      </c>
      <c r="C78" s="292"/>
      <c r="N78" s="204"/>
      <c r="O78" s="435"/>
      <c r="P78" s="295"/>
      <c r="Q78" s="295"/>
      <c r="R78" s="295"/>
      <c r="S78" s="295"/>
      <c r="T78" s="295"/>
      <c r="U78" s="295"/>
      <c r="V78" s="295"/>
      <c r="W78" s="295"/>
      <c r="X78" s="300"/>
    </row>
    <row r="79" spans="2:25" s="54" customFormat="1" ht="17.25" customHeight="1" x14ac:dyDescent="0.25">
      <c r="B79" s="333" t="s">
        <v>337</v>
      </c>
      <c r="C79" s="292" t="s">
        <v>36</v>
      </c>
      <c r="N79" s="204"/>
      <c r="O79" s="436">
        <f>'4.Turnover'!O15</f>
        <v>3874.7010900051855</v>
      </c>
      <c r="P79" s="490">
        <f>'4.Turnover'!P15</f>
        <v>3942.4286010647543</v>
      </c>
      <c r="Q79" s="406">
        <f>'4.Turnover'!Q15</f>
        <v>3979.4362593445521</v>
      </c>
      <c r="R79" s="406">
        <f>'4.Turnover'!R15</f>
        <v>4017.0096477580955</v>
      </c>
      <c r="S79" s="406">
        <f>'4.Turnover'!S15</f>
        <v>4055.0756873202804</v>
      </c>
      <c r="T79" s="406">
        <f>'4.Turnover'!T15</f>
        <v>4093.5746041473822</v>
      </c>
      <c r="U79" s="406">
        <f>'4.Turnover'!U15</f>
        <v>4132.456883576684</v>
      </c>
      <c r="V79" s="406">
        <f>'4.Turnover'!V15</f>
        <v>4171.6810489041918</v>
      </c>
      <c r="W79" s="406">
        <f>'4.Turnover'!W15</f>
        <v>4211.2120105449285</v>
      </c>
      <c r="X79" s="415">
        <f>'4.Turnover'!X15</f>
        <v>4251.0198183877892</v>
      </c>
      <c r="Y79" s="406"/>
    </row>
    <row r="80" spans="2:25" s="54" customFormat="1" ht="17.25" customHeight="1" x14ac:dyDescent="0.25">
      <c r="B80" s="333" t="s">
        <v>338</v>
      </c>
      <c r="C80" s="292" t="s">
        <v>36</v>
      </c>
      <c r="N80" s="204"/>
      <c r="O80" s="436">
        <f>'4.Turnover'!O38</f>
        <v>913.61251699000002</v>
      </c>
      <c r="P80" s="490">
        <f>'4.Turnover'!P38</f>
        <v>1054.3419999999999</v>
      </c>
      <c r="Q80" s="406">
        <f>'4.Turnover'!Q38</f>
        <v>1037.3309999999999</v>
      </c>
      <c r="R80" s="406">
        <f>'4.Turnover'!R38</f>
        <v>1052.32</v>
      </c>
      <c r="S80" s="406">
        <f>'4.Turnover'!S38</f>
        <v>1062.9177500000001</v>
      </c>
      <c r="T80" s="406">
        <f>'4.Turnover'!T38</f>
        <v>1081.2001874999999</v>
      </c>
      <c r="U80" s="406">
        <f>'4.Turnover'!U38</f>
        <v>1095.9147343750001</v>
      </c>
      <c r="V80" s="406">
        <f>'4.Turnover'!V38</f>
        <v>1110.5606679687498</v>
      </c>
      <c r="W80" s="406">
        <f>'4.Turnover'!W38</f>
        <v>1125.1208349609374</v>
      </c>
      <c r="X80" s="415">
        <f>'4.Turnover'!X38</f>
        <v>1140.6716062011719</v>
      </c>
    </row>
    <row r="81" spans="2:24" s="54" customFormat="1" ht="17.25" customHeight="1" x14ac:dyDescent="0.25">
      <c r="B81" s="333" t="s">
        <v>339</v>
      </c>
      <c r="C81" s="292" t="s">
        <v>36</v>
      </c>
      <c r="N81" s="204"/>
      <c r="O81" s="436">
        <f>'4.Turnover'!O61</f>
        <v>648.31200000000001</v>
      </c>
      <c r="P81" s="490">
        <f>'4.Turnover'!P61</f>
        <v>660.298</v>
      </c>
      <c r="Q81" s="406">
        <f>'4.Turnover'!Q61</f>
        <v>652.28399999999999</v>
      </c>
      <c r="R81" s="406">
        <f>'4.Turnover'!R61</f>
        <v>644.27</v>
      </c>
      <c r="S81" s="406">
        <f>'4.Turnover'!S61</f>
        <v>636.25600000000009</v>
      </c>
      <c r="T81" s="406">
        <f>'4.Turnover'!T61</f>
        <v>628.24199999999996</v>
      </c>
      <c r="U81" s="406">
        <f>'4.Turnover'!U61</f>
        <v>620.22800000000007</v>
      </c>
      <c r="V81" s="406">
        <f>'4.Turnover'!V61</f>
        <v>612.21400000000006</v>
      </c>
      <c r="W81" s="406">
        <f>'4.Turnover'!W61</f>
        <v>604.20000000000005</v>
      </c>
      <c r="X81" s="415">
        <f>'4.Turnover'!X61</f>
        <v>596.18600000000004</v>
      </c>
    </row>
    <row r="82" spans="2:24" s="54" customFormat="1" ht="17.25" customHeight="1" x14ac:dyDescent="0.25">
      <c r="B82" s="333" t="s">
        <v>346</v>
      </c>
      <c r="C82" s="292" t="s">
        <v>36</v>
      </c>
      <c r="N82" s="204"/>
      <c r="O82" s="436">
        <f>SUM(O79:O81)</f>
        <v>5436.6256069951851</v>
      </c>
      <c r="P82" s="490">
        <f t="shared" ref="P82:X82" si="47">SUM(P79:P81)</f>
        <v>5657.0686010647541</v>
      </c>
      <c r="Q82" s="406">
        <f t="shared" si="47"/>
        <v>5669.0512593445519</v>
      </c>
      <c r="R82" s="406">
        <f t="shared" si="47"/>
        <v>5713.5996477580957</v>
      </c>
      <c r="S82" s="406">
        <f t="shared" si="47"/>
        <v>5754.2494373202808</v>
      </c>
      <c r="T82" s="406">
        <f t="shared" si="47"/>
        <v>5803.016791647382</v>
      </c>
      <c r="U82" s="406">
        <f t="shared" si="47"/>
        <v>5848.5996179516842</v>
      </c>
      <c r="V82" s="406">
        <f t="shared" si="47"/>
        <v>5894.4557168729416</v>
      </c>
      <c r="W82" s="406">
        <f t="shared" si="47"/>
        <v>5940.5328455058652</v>
      </c>
      <c r="X82" s="415">
        <f t="shared" si="47"/>
        <v>5987.8774245889608</v>
      </c>
    </row>
    <row r="83" spans="2:24" s="54" customFormat="1" ht="17.25" customHeight="1" x14ac:dyDescent="0.25">
      <c r="B83" s="56" t="s">
        <v>343</v>
      </c>
      <c r="C83" s="292"/>
      <c r="N83" s="204"/>
      <c r="O83" s="436"/>
      <c r="P83" s="406"/>
      <c r="Q83" s="406"/>
      <c r="R83" s="406"/>
      <c r="S83" s="406"/>
      <c r="T83" s="406"/>
      <c r="U83" s="406"/>
      <c r="V83" s="406"/>
      <c r="W83" s="406"/>
      <c r="X83" s="415"/>
    </row>
    <row r="84" spans="2:24" s="54" customFormat="1" ht="17.25" customHeight="1" x14ac:dyDescent="0.25">
      <c r="B84" s="333" t="s">
        <v>340</v>
      </c>
      <c r="C84" s="292" t="s">
        <v>252</v>
      </c>
      <c r="N84" s="204"/>
      <c r="O84" s="644">
        <f>'[4]5.Employ'!L287*1000</f>
        <v>5039.8435954747756</v>
      </c>
      <c r="P84" s="645">
        <f>'[4]5.Employ'!M287*1000</f>
        <v>5100.5799258214756</v>
      </c>
      <c r="Q84" s="634">
        <f>'[4]5.Employ'!N287*1000</f>
        <v>5133.6178009537061</v>
      </c>
      <c r="R84" s="634">
        <f>'[4]5.Employ'!O287*1000</f>
        <v>5181.7538371834735</v>
      </c>
      <c r="S84" s="634">
        <f>'[4]5.Employ'!P287*1000</f>
        <v>5230.5781764210833</v>
      </c>
      <c r="T84" s="634">
        <f>'[4]5.Employ'!Q287*1000</f>
        <v>5280.0073061362782</v>
      </c>
      <c r="U84" s="634">
        <f>'[4]5.Employ'!R287*1000</f>
        <v>5329.9720473747921</v>
      </c>
      <c r="V84" s="634">
        <f>'[4]5.Employ'!S287*1000</f>
        <v>5380.4144513422425</v>
      </c>
      <c r="W84" s="634">
        <f>'[4]5.Employ'!T287*1000</f>
        <v>5431.2854929486639</v>
      </c>
      <c r="X84" s="639">
        <f>'[4]5.Employ'!U287*1000</f>
        <v>5482.5433276726044</v>
      </c>
    </row>
    <row r="85" spans="2:24" s="54" customFormat="1" ht="15.75" customHeight="1" x14ac:dyDescent="0.25">
      <c r="B85" s="333" t="s">
        <v>341</v>
      </c>
      <c r="C85" s="292" t="s">
        <v>252</v>
      </c>
      <c r="N85" s="204"/>
      <c r="O85" s="644">
        <f>'[4]5.Employ'!L288*1000</f>
        <v>855.49098696068586</v>
      </c>
      <c r="P85" s="645">
        <f>'[4]5.Employ'!M288*1000</f>
        <v>987.26764509069869</v>
      </c>
      <c r="Q85" s="634">
        <f>'[4]5.Employ'!N288*1000</f>
        <v>971.33883839359476</v>
      </c>
      <c r="R85" s="634">
        <f>'[4]5.Employ'!O288*1000</f>
        <v>985.37427920147741</v>
      </c>
      <c r="S85" s="634">
        <f>'[4]5.Employ'!P288*1000</f>
        <v>995.29782932635158</v>
      </c>
      <c r="T85" s="634">
        <f>'[4]5.Employ'!Q288*1000</f>
        <v>1012.4171881464903</v>
      </c>
      <c r="U85" s="634">
        <f>'[4]5.Employ'!R288*1000</f>
        <v>1026.1956357866848</v>
      </c>
      <c r="V85" s="634">
        <f>'[4]5.Employ'!S288*1000</f>
        <v>1039.9098351349571</v>
      </c>
      <c r="W85" s="634">
        <f>'[4]5.Employ'!T288*1000</f>
        <v>1053.5437241183272</v>
      </c>
      <c r="X85" s="639">
        <f>'[4]5.Employ'!U288*1000</f>
        <v>1068.1051978163214</v>
      </c>
    </row>
    <row r="86" spans="2:24" s="54" customFormat="1" ht="15" customHeight="1" x14ac:dyDescent="0.25">
      <c r="B86" s="333" t="s">
        <v>342</v>
      </c>
      <c r="C86" s="292" t="s">
        <v>252</v>
      </c>
      <c r="N86" s="204"/>
      <c r="O86" s="644">
        <f>'[4]5.Employ'!L289*1000</f>
        <v>108.87339026886259</v>
      </c>
      <c r="P86" s="645">
        <f>'[4]5.Employ'!M289*1000</f>
        <v>110.88624280863139</v>
      </c>
      <c r="Q86" s="634">
        <f>'[4]5.Employ'!N289*1000</f>
        <v>109.54042266398704</v>
      </c>
      <c r="R86" s="634">
        <f>'[4]5.Employ'!O289*1000</f>
        <v>108.19460251934269</v>
      </c>
      <c r="S86" s="634">
        <f>'[4]5.Employ'!P289*1000</f>
        <v>106.84878237469836</v>
      </c>
      <c r="T86" s="634">
        <f>'[4]5.Employ'!Q289*1000</f>
        <v>105.502962230054</v>
      </c>
      <c r="U86" s="634">
        <f>'[4]5.Employ'!R289*1000</f>
        <v>104.15714208540967</v>
      </c>
      <c r="V86" s="634">
        <f>'[4]5.Employ'!S289*1000</f>
        <v>102.81132194076534</v>
      </c>
      <c r="W86" s="634">
        <f>'[4]5.Employ'!T289*1000</f>
        <v>101.46550179612099</v>
      </c>
      <c r="X86" s="639">
        <f>'[4]5.Employ'!U289*1000</f>
        <v>100.11968165147665</v>
      </c>
    </row>
    <row r="87" spans="2:24" s="54" customFormat="1" ht="15" customHeight="1" x14ac:dyDescent="0.25">
      <c r="B87" s="333" t="s">
        <v>345</v>
      </c>
      <c r="C87" s="292" t="s">
        <v>252</v>
      </c>
      <c r="N87" s="204"/>
      <c r="O87" s="436">
        <f>'7.ScenarioD'!O47</f>
        <v>6004.2079727043247</v>
      </c>
      <c r="P87" s="406">
        <f>'7.ScenarioD'!P47</f>
        <v>6198.7338137208053</v>
      </c>
      <c r="Q87" s="406">
        <f>'7.ScenarioD'!Q47</f>
        <v>6214.4970620112872</v>
      </c>
      <c r="R87" s="406">
        <f>'7.ScenarioD'!R47</f>
        <v>6275.3227189042937</v>
      </c>
      <c r="S87" s="406">
        <f>'7.ScenarioD'!S47</f>
        <v>6332.7247881221328</v>
      </c>
      <c r="T87" s="406">
        <f>'7.ScenarioD'!T47</f>
        <v>6397.9274565128226</v>
      </c>
      <c r="U87" s="406">
        <f>'7.ScenarioD'!U47</f>
        <v>6460.3248252468866</v>
      </c>
      <c r="V87" s="406">
        <f>'7.ScenarioD'!V47</f>
        <v>6523.1356084179652</v>
      </c>
      <c r="W87" s="406">
        <f>'7.ScenarioD'!W47</f>
        <v>6586.2947188631124</v>
      </c>
      <c r="X87" s="415">
        <f>'7.ScenarioD'!X47</f>
        <v>6650.7682071404024</v>
      </c>
    </row>
    <row r="88" spans="2:24" s="54" customFormat="1" ht="15" customHeight="1" x14ac:dyDescent="0.25">
      <c r="B88" s="333" t="s">
        <v>344</v>
      </c>
      <c r="C88" s="292" t="s">
        <v>252</v>
      </c>
      <c r="N88" s="204"/>
      <c r="O88" s="644">
        <f ca="1">SUM('[4]5.Employ'!L273:L285)*1000</f>
        <v>3832477.3144211532</v>
      </c>
      <c r="P88" s="645">
        <f ca="1">SUM('[4]5.Employ'!M273:M285)*1000</f>
        <v>3874852.9112148513</v>
      </c>
      <c r="Q88" s="634">
        <f ca="1">SUM('[4]5.Employ'!N273:N285)*1000</f>
        <v>3917181.6420871736</v>
      </c>
      <c r="R88" s="634">
        <f ca="1">SUM('[4]5.Employ'!O273:O285)*1000</f>
        <v>3956524.6941577429</v>
      </c>
      <c r="S88" s="634">
        <f ca="1">SUM('[4]5.Employ'!P273:P285)*1000</f>
        <v>3994493.2173964689</v>
      </c>
      <c r="T88" s="634">
        <f ca="1">SUM('[4]5.Employ'!Q273:Q285)*1000</f>
        <v>4030981.9510143041</v>
      </c>
      <c r="U88" s="634">
        <f ca="1">SUM('[4]5.Employ'!R273:R285)*1000</f>
        <v>4066060.1854143678</v>
      </c>
      <c r="V88" s="634">
        <f ca="1">SUM('[4]5.Employ'!S273:S285)*1000</f>
        <v>4102980.24070716</v>
      </c>
      <c r="W88" s="634">
        <f ca="1">SUM('[4]5.Employ'!T273:T285)*1000</f>
        <v>4140100.4931091811</v>
      </c>
      <c r="X88" s="639">
        <f ca="1">SUM('[4]5.Employ'!U273:U285)*1000</f>
        <v>4177472.5209513619</v>
      </c>
    </row>
    <row r="89" spans="2:24" s="54" customFormat="1" ht="15" customHeight="1" x14ac:dyDescent="0.25">
      <c r="B89" s="56" t="s">
        <v>325</v>
      </c>
      <c r="C89" s="292"/>
      <c r="N89" s="204"/>
      <c r="O89" s="436"/>
      <c r="P89" s="406"/>
      <c r="Q89" s="406"/>
      <c r="R89" s="406"/>
      <c r="S89" s="406"/>
      <c r="T89" s="406"/>
      <c r="U89" s="406"/>
      <c r="V89" s="406"/>
      <c r="W89" s="406"/>
      <c r="X89" s="415"/>
    </row>
    <row r="90" spans="2:24" s="54" customFormat="1" ht="15" customHeight="1" x14ac:dyDescent="0.25">
      <c r="B90" s="333" t="s">
        <v>340</v>
      </c>
      <c r="C90" s="292" t="s">
        <v>36</v>
      </c>
      <c r="N90" s="204"/>
      <c r="O90" s="644">
        <f>'[4]4.IGVA'!L327</f>
        <v>604.77959442416727</v>
      </c>
      <c r="P90" s="645">
        <f>'[4]4.IGVA'!M327</f>
        <v>612.06793433750715</v>
      </c>
      <c r="Q90" s="634">
        <f>'[4]4.IGVA'!N327</f>
        <v>616.03246862207254</v>
      </c>
      <c r="R90" s="634">
        <f>'[4]4.IGVA'!O327</f>
        <v>621.80877733418504</v>
      </c>
      <c r="S90" s="634">
        <f>'[4]4.IGVA'!P327</f>
        <v>627.66768218366542</v>
      </c>
      <c r="T90" s="634">
        <f>'[4]4.IGVA'!Q327</f>
        <v>633.59916169400901</v>
      </c>
      <c r="U90" s="634">
        <f>'[4]4.IGVA'!R327</f>
        <v>639.59491441317448</v>
      </c>
      <c r="V90" s="634">
        <f>'[4]4.IGVA'!S327</f>
        <v>645.64798650465889</v>
      </c>
      <c r="W90" s="634">
        <f>'[4]4.IGVA'!T327</f>
        <v>651.7524949735905</v>
      </c>
      <c r="X90" s="639">
        <f>'[4]4.IGVA'!U327</f>
        <v>657.90341849098695</v>
      </c>
    </row>
    <row r="91" spans="2:24" s="54" customFormat="1" ht="15" customHeight="1" x14ac:dyDescent="0.25">
      <c r="B91" s="333" t="s">
        <v>341</v>
      </c>
      <c r="C91" s="292" t="s">
        <v>36</v>
      </c>
      <c r="N91" s="204"/>
      <c r="O91" s="644">
        <f>'[4]4.IGVA'!L328</f>
        <v>102.65891843528229</v>
      </c>
      <c r="P91" s="645">
        <f>'[4]4.IGVA'!M328</f>
        <v>118.47211741088383</v>
      </c>
      <c r="Q91" s="634">
        <f>'[4]4.IGVA'!N328</f>
        <v>116.56066060723137</v>
      </c>
      <c r="R91" s="634">
        <f>'[4]4.IGVA'!O328</f>
        <v>118.24491350417728</v>
      </c>
      <c r="S91" s="634">
        <f>'[4]4.IGVA'!P328</f>
        <v>119.43573951916218</v>
      </c>
      <c r="T91" s="634">
        <f>'[4]4.IGVA'!Q328</f>
        <v>121.49006257757883</v>
      </c>
      <c r="U91" s="634">
        <f>'[4]4.IGVA'!R328</f>
        <v>123.14347629440218</v>
      </c>
      <c r="V91" s="634">
        <f>'[4]4.IGVA'!S328</f>
        <v>124.78918021619485</v>
      </c>
      <c r="W91" s="634">
        <f>'[4]4.IGVA'!T328</f>
        <v>126.42524689419926</v>
      </c>
      <c r="X91" s="639">
        <f>'[4]4.IGVA'!U328</f>
        <v>128.17262373795856</v>
      </c>
    </row>
    <row r="92" spans="2:24" s="54" customFormat="1" ht="15" customHeight="1" x14ac:dyDescent="0.25">
      <c r="B92" s="333" t="s">
        <v>342</v>
      </c>
      <c r="C92" s="292" t="s">
        <v>36</v>
      </c>
      <c r="N92" s="204"/>
      <c r="O92" s="644">
        <f>'[4]4.IGVA'!L329</f>
        <v>12.835960627557233</v>
      </c>
      <c r="P92" s="645">
        <f>'[4]4.IGVA'!M329</f>
        <v>13.073272020963341</v>
      </c>
      <c r="Q92" s="634">
        <f>'[4]4.IGVA'!N329</f>
        <v>12.914602447564663</v>
      </c>
      <c r="R92" s="634">
        <f>'[4]4.IGVA'!O329</f>
        <v>12.755932874165985</v>
      </c>
      <c r="S92" s="634">
        <f>'[4]4.IGVA'!P329</f>
        <v>12.59726330076731</v>
      </c>
      <c r="T92" s="634">
        <f>'[4]4.IGVA'!Q329</f>
        <v>12.438593727368628</v>
      </c>
      <c r="U92" s="634">
        <f>'[4]4.IGVA'!R329</f>
        <v>12.279924153969953</v>
      </c>
      <c r="V92" s="634">
        <f>'[4]4.IGVA'!S329</f>
        <v>12.121254580571275</v>
      </c>
      <c r="W92" s="634">
        <f>'[4]4.IGVA'!T329</f>
        <v>11.962585007172597</v>
      </c>
      <c r="X92" s="639">
        <f>'[4]4.IGVA'!U329</f>
        <v>11.80391543377392</v>
      </c>
    </row>
    <row r="93" spans="2:24" s="54" customFormat="1" ht="15" customHeight="1" x14ac:dyDescent="0.25">
      <c r="B93" s="333" t="s">
        <v>345</v>
      </c>
      <c r="C93" s="292" t="s">
        <v>36</v>
      </c>
      <c r="N93" s="204"/>
      <c r="O93" s="436">
        <f>SUM(O90:O92)</f>
        <v>720.27447348700684</v>
      </c>
      <c r="P93" s="490">
        <f t="shared" ref="P93:X93" si="48">SUM(P90:P92)</f>
        <v>743.61332376935434</v>
      </c>
      <c r="Q93" s="406">
        <f t="shared" si="48"/>
        <v>745.50773167686862</v>
      </c>
      <c r="R93" s="406">
        <f t="shared" si="48"/>
        <v>752.80962371252826</v>
      </c>
      <c r="S93" s="406">
        <f t="shared" si="48"/>
        <v>759.70068500359491</v>
      </c>
      <c r="T93" s="406">
        <f t="shared" si="48"/>
        <v>767.52781799895638</v>
      </c>
      <c r="U93" s="406">
        <f t="shared" si="48"/>
        <v>775.01831486154663</v>
      </c>
      <c r="V93" s="406">
        <f t="shared" si="48"/>
        <v>782.55842130142503</v>
      </c>
      <c r="W93" s="406">
        <f t="shared" si="48"/>
        <v>790.1403268749624</v>
      </c>
      <c r="X93" s="415">
        <f t="shared" si="48"/>
        <v>797.87995766271945</v>
      </c>
    </row>
    <row r="94" spans="2:24" s="54" customFormat="1" ht="15" customHeight="1" x14ac:dyDescent="0.25">
      <c r="B94" s="333" t="s">
        <v>344</v>
      </c>
      <c r="C94" s="292" t="s">
        <v>36</v>
      </c>
      <c r="N94" s="204"/>
      <c r="O94" s="644">
        <f ca="1">SUM('[4]4.IGVA'!L313:L326)</f>
        <v>449644.54157212918</v>
      </c>
      <c r="P94" s="645">
        <f ca="1">SUM('[4]4.IGVA'!M313:M326)</f>
        <v>460777.50023273035</v>
      </c>
      <c r="Q94" s="634">
        <f ca="1">SUM('[4]4.IGVA'!N313:N326)</f>
        <v>472117.29764699657</v>
      </c>
      <c r="R94" s="634">
        <f ca="1">SUM('[4]4.IGVA'!O313:O326)</f>
        <v>483897.25862668268</v>
      </c>
      <c r="S94" s="634">
        <f ca="1">SUM('[4]4.IGVA'!P313:P326)</f>
        <v>496589.84120172873</v>
      </c>
      <c r="T94" s="634">
        <f ca="1">SUM('[4]4.IGVA'!Q313:Q326)</f>
        <v>509312.19219540583</v>
      </c>
      <c r="U94" s="634">
        <f ca="1">SUM('[4]4.IGVA'!R313:R326)</f>
        <v>522454.01172841823</v>
      </c>
      <c r="V94" s="634">
        <f ca="1">SUM('[4]4.IGVA'!S313:S326)</f>
        <v>536426.13384990487</v>
      </c>
      <c r="W94" s="634">
        <f ca="1">SUM('[4]4.IGVA'!T313:T326)</f>
        <v>550891.40514015476</v>
      </c>
      <c r="X94" s="639">
        <f ca="1">SUM('[4]4.IGVA'!U313:U326)</f>
        <v>565658.39512487128</v>
      </c>
    </row>
    <row r="95" spans="2:24" s="54" customFormat="1" ht="15" customHeight="1" x14ac:dyDescent="0.25">
      <c r="B95" s="333" t="s">
        <v>362</v>
      </c>
      <c r="C95" s="292"/>
      <c r="N95" s="204"/>
      <c r="O95" s="436">
        <f ca="1">'7.ScenarioD'!O55</f>
        <v>32761.909999983793</v>
      </c>
      <c r="P95" s="406">
        <f ca="1">'7.ScenarioD'!P55</f>
        <v>32824.153256587335</v>
      </c>
      <c r="Q95" s="406">
        <f ca="1">'7.ScenarioD'!Q55</f>
        <v>32839.055248910619</v>
      </c>
      <c r="R95" s="406">
        <f ca="1">'7.ScenarioD'!R55</f>
        <v>32814.721076502756</v>
      </c>
      <c r="S95" s="406">
        <f ca="1">'7.ScenarioD'!S55</f>
        <v>32791.323651911924</v>
      </c>
      <c r="T95" s="406">
        <f ca="1">'7.ScenarioD'!T55</f>
        <v>32847.560047079402</v>
      </c>
      <c r="U95" s="406">
        <f ca="1">'7.ScenarioD'!U55</f>
        <v>32800.768359632115</v>
      </c>
      <c r="V95" s="406">
        <f ca="1">'7.ScenarioD'!V55</f>
        <v>32657.129223244265</v>
      </c>
      <c r="W95" s="406">
        <f ca="1">'7.ScenarioD'!W55</f>
        <v>32515.147733199061</v>
      </c>
      <c r="X95" s="415">
        <f ca="1">'7.ScenarioD'!X55</f>
        <v>32394.115871582762</v>
      </c>
    </row>
    <row r="96" spans="2:24" s="54" customFormat="1" ht="15" customHeight="1" x14ac:dyDescent="0.25">
      <c r="B96" s="416" t="s">
        <v>347</v>
      </c>
      <c r="C96" s="293" t="s">
        <v>36</v>
      </c>
      <c r="D96" s="242"/>
      <c r="E96" s="242"/>
      <c r="F96" s="242"/>
      <c r="G96" s="242"/>
      <c r="H96" s="242"/>
      <c r="I96" s="242"/>
      <c r="J96" s="242"/>
      <c r="K96" s="242"/>
      <c r="L96" s="242"/>
      <c r="M96" s="242"/>
      <c r="N96" s="425"/>
      <c r="O96" s="631">
        <f ca="1">'[4]3.Macro'!P14</f>
        <v>483126.72604559996</v>
      </c>
      <c r="P96" s="632">
        <f ca="1">'[4]3.Macro'!Q14</f>
        <v>494345.26681308704</v>
      </c>
      <c r="Q96" s="635">
        <f ca="1">'[4]3.Macro'!R14</f>
        <v>505701.86062758404</v>
      </c>
      <c r="R96" s="635">
        <f ca="1">'[4]3.Macro'!S14</f>
        <v>517464.789326898</v>
      </c>
      <c r="S96" s="635">
        <f ca="1">'[4]3.Macro'!T14</f>
        <v>530140.86553864426</v>
      </c>
      <c r="T96" s="635">
        <f ca="1">'[4]3.Macro'!U14</f>
        <v>542927.28006048419</v>
      </c>
      <c r="U96" s="635">
        <f ca="1">'[4]3.Macro'!V14</f>
        <v>556029.79840291187</v>
      </c>
      <c r="V96" s="635">
        <f ca="1">'[4]3.Macro'!W14</f>
        <v>569865.82149445056</v>
      </c>
      <c r="W96" s="635">
        <f ca="1">'[4]3.Macro'!X14</f>
        <v>584196.69320022874</v>
      </c>
      <c r="X96" s="633">
        <f ca="1">'[4]3.Macro'!Y14</f>
        <v>598850.39095411671</v>
      </c>
    </row>
    <row r="97" spans="2:26" s="54" customFormat="1" ht="15" customHeight="1" x14ac:dyDescent="0.25">
      <c r="B97" s="333"/>
      <c r="C97" s="300"/>
      <c r="N97" s="204"/>
      <c r="O97" s="435"/>
      <c r="P97" s="295"/>
      <c r="Q97" s="295"/>
      <c r="R97" s="295"/>
      <c r="S97" s="295"/>
      <c r="T97" s="295"/>
      <c r="U97" s="295"/>
      <c r="V97" s="295"/>
      <c r="W97" s="295"/>
      <c r="X97" s="427"/>
    </row>
    <row r="98" spans="2:26" s="54" customFormat="1" ht="24" customHeight="1" x14ac:dyDescent="0.35">
      <c r="B98" s="484" t="s">
        <v>350</v>
      </c>
      <c r="C98" s="334"/>
      <c r="N98" s="204"/>
      <c r="O98" s="435"/>
      <c r="P98" s="295"/>
      <c r="Q98" s="295"/>
      <c r="R98" s="295"/>
      <c r="S98" s="295"/>
      <c r="T98" s="295"/>
      <c r="U98" s="295"/>
      <c r="V98" s="295"/>
      <c r="W98" s="295"/>
      <c r="X98" s="300"/>
    </row>
    <row r="99" spans="2:26" s="54" customFormat="1" ht="15" customHeight="1" x14ac:dyDescent="0.25">
      <c r="B99" s="56" t="s">
        <v>348</v>
      </c>
      <c r="C99" s="292" t="s">
        <v>36</v>
      </c>
      <c r="N99" s="204"/>
      <c r="O99" s="435"/>
      <c r="P99" s="53">
        <f ca="1">P72+'[4]6.TaxRev'!L985</f>
        <v>26984.547800000004</v>
      </c>
      <c r="Q99" s="53">
        <f ca="1">Q72+'[4]6.TaxRev'!M985</f>
        <v>27871.822800000002</v>
      </c>
      <c r="R99" s="53">
        <f ca="1">R72+'[4]6.TaxRev'!N985</f>
        <v>28758.12617</v>
      </c>
      <c r="S99" s="53">
        <f ca="1">S72+'[4]6.TaxRev'!O985</f>
        <v>29644.075670000002</v>
      </c>
      <c r="T99" s="53">
        <f ca="1">T72+'[4]6.TaxRev'!P985</f>
        <v>30528.958270000003</v>
      </c>
      <c r="U99" s="53">
        <f ca="1">U72+'[4]6.TaxRev'!Q985</f>
        <v>31414.300070000001</v>
      </c>
      <c r="V99" s="53">
        <f ca="1">V72+'[4]6.TaxRev'!R985</f>
        <v>32300.431570000001</v>
      </c>
      <c r="W99" s="53">
        <f ca="1">W72+'[4]6.TaxRev'!S985</f>
        <v>33186.466769999999</v>
      </c>
      <c r="X99" s="53">
        <f ca="1">X72+'[4]6.TaxRev'!T985</f>
        <v>34072.487869999997</v>
      </c>
    </row>
    <row r="100" spans="2:26" s="54" customFormat="1" ht="15" customHeight="1" x14ac:dyDescent="0.25">
      <c r="B100" s="56" t="s">
        <v>333</v>
      </c>
      <c r="C100" s="292"/>
      <c r="N100" s="204"/>
      <c r="O100" s="435"/>
      <c r="P100" s="295"/>
      <c r="Q100" s="295"/>
      <c r="R100" s="295"/>
      <c r="S100" s="295"/>
      <c r="T100" s="295"/>
      <c r="U100" s="295"/>
      <c r="V100" s="295"/>
      <c r="W100" s="295"/>
      <c r="X100" s="300"/>
    </row>
    <row r="101" spans="2:26" s="54" customFormat="1" ht="15" customHeight="1" x14ac:dyDescent="0.25">
      <c r="B101" s="333" t="s">
        <v>334</v>
      </c>
      <c r="C101" s="292" t="s">
        <v>36</v>
      </c>
      <c r="N101" s="204"/>
      <c r="O101" s="435"/>
      <c r="P101" s="53">
        <f>P62</f>
        <v>241.97153494778263</v>
      </c>
      <c r="Q101" s="53">
        <f t="shared" ref="Q101:X101" si="49">Q62</f>
        <v>484.61112735198515</v>
      </c>
      <c r="R101" s="53">
        <f t="shared" si="49"/>
        <v>728.34925360098259</v>
      </c>
      <c r="S101" s="53">
        <f t="shared" si="49"/>
        <v>973.15319090249363</v>
      </c>
      <c r="T101" s="53">
        <f t="shared" si="49"/>
        <v>1219.0960892254525</v>
      </c>
      <c r="U101" s="53">
        <f t="shared" si="49"/>
        <v>1466.1511400104639</v>
      </c>
      <c r="V101" s="53">
        <f t="shared" si="49"/>
        <v>1714.3219146396414</v>
      </c>
      <c r="W101" s="53">
        <f t="shared" si="49"/>
        <v>1963.6113986876167</v>
      </c>
      <c r="X101" s="150">
        <f t="shared" si="49"/>
        <v>2214.0317029285893</v>
      </c>
    </row>
    <row r="102" spans="2:26" s="54" customFormat="1" ht="15" customHeight="1" x14ac:dyDescent="0.25">
      <c r="B102" s="333" t="s">
        <v>331</v>
      </c>
      <c r="C102" s="292" t="s">
        <v>36</v>
      </c>
      <c r="N102" s="204"/>
      <c r="O102" s="435"/>
      <c r="P102" s="53">
        <f>P59</f>
        <v>44.937570776016777</v>
      </c>
      <c r="Q102" s="53">
        <f t="shared" ref="Q102:X102" si="50">Q59</f>
        <v>89.999209365368671</v>
      </c>
      <c r="R102" s="53">
        <f t="shared" si="50"/>
        <v>135.26486138303963</v>
      </c>
      <c r="S102" s="53">
        <f t="shared" si="50"/>
        <v>180.72844973903455</v>
      </c>
      <c r="T102" s="53">
        <f t="shared" si="50"/>
        <v>226.40355942758407</v>
      </c>
      <c r="U102" s="53">
        <f t="shared" si="50"/>
        <v>272.28521171622901</v>
      </c>
      <c r="V102" s="53">
        <f t="shared" si="50"/>
        <v>318.37406986164768</v>
      </c>
      <c r="W102" s="53">
        <f t="shared" si="50"/>
        <v>364.67068832770025</v>
      </c>
      <c r="X102" s="150">
        <f t="shared" si="50"/>
        <v>411.17731625816663</v>
      </c>
    </row>
    <row r="103" spans="2:26" s="54" customFormat="1" ht="15" customHeight="1" x14ac:dyDescent="0.25">
      <c r="B103" s="333" t="s">
        <v>335</v>
      </c>
      <c r="C103" s="292" t="s">
        <v>36</v>
      </c>
      <c r="N103" s="204"/>
      <c r="O103" s="435"/>
      <c r="P103" s="53">
        <f>P65</f>
        <v>58.764515630175786</v>
      </c>
      <c r="Q103" s="53">
        <f t="shared" ref="Q103:X103" si="51">Q65</f>
        <v>117.69127378548211</v>
      </c>
      <c r="R103" s="53">
        <f t="shared" si="51"/>
        <v>176.88481873166722</v>
      </c>
      <c r="S103" s="53">
        <f t="shared" si="51"/>
        <v>236.33720350489136</v>
      </c>
      <c r="T103" s="53">
        <f t="shared" si="51"/>
        <v>296.06619309760993</v>
      </c>
      <c r="U103" s="53">
        <f t="shared" si="51"/>
        <v>356.0652768596841</v>
      </c>
      <c r="V103" s="53">
        <f t="shared" si="51"/>
        <v>416.33532212677005</v>
      </c>
      <c r="W103" s="53">
        <f t="shared" si="51"/>
        <v>476.87705396699266</v>
      </c>
      <c r="X103" s="150">
        <f t="shared" si="51"/>
        <v>537.69341356837174</v>
      </c>
    </row>
    <row r="104" spans="2:26" s="54" customFormat="1" ht="15" customHeight="1" x14ac:dyDescent="0.25">
      <c r="B104" s="333" t="s">
        <v>345</v>
      </c>
      <c r="C104" s="292" t="s">
        <v>36</v>
      </c>
      <c r="N104" s="204"/>
      <c r="O104" s="435"/>
      <c r="P104" s="53">
        <f>SUM(P101:P103)</f>
        <v>345.67362135397519</v>
      </c>
      <c r="Q104" s="53">
        <f t="shared" ref="Q104:X104" si="52">SUM(Q101:Q103)</f>
        <v>692.30161050283596</v>
      </c>
      <c r="R104" s="53">
        <f t="shared" si="52"/>
        <v>1040.4989337156894</v>
      </c>
      <c r="S104" s="53">
        <f t="shared" si="52"/>
        <v>1390.2188441464195</v>
      </c>
      <c r="T104" s="53">
        <f t="shared" si="52"/>
        <v>1741.5658417506465</v>
      </c>
      <c r="U104" s="53">
        <f t="shared" si="52"/>
        <v>2094.5016285863771</v>
      </c>
      <c r="V104" s="53">
        <f t="shared" si="52"/>
        <v>2449.0313066280592</v>
      </c>
      <c r="W104" s="53">
        <f t="shared" si="52"/>
        <v>2805.1591409823095</v>
      </c>
      <c r="X104" s="150">
        <f t="shared" si="52"/>
        <v>3162.9024327551278</v>
      </c>
    </row>
    <row r="105" spans="2:26" s="54" customFormat="1" ht="15" customHeight="1" x14ac:dyDescent="0.25">
      <c r="B105" s="56" t="s">
        <v>336</v>
      </c>
      <c r="C105" s="292"/>
      <c r="N105" s="204"/>
      <c r="O105" s="435"/>
      <c r="P105" s="295"/>
      <c r="Q105" s="295"/>
      <c r="R105" s="295"/>
      <c r="S105" s="295"/>
      <c r="T105" s="295"/>
      <c r="U105" s="295"/>
      <c r="V105" s="295"/>
      <c r="W105" s="295"/>
      <c r="X105" s="300"/>
    </row>
    <row r="106" spans="2:26" s="54" customFormat="1" ht="15" customHeight="1" x14ac:dyDescent="0.25">
      <c r="B106" s="333" t="s">
        <v>337</v>
      </c>
      <c r="C106" s="292" t="s">
        <v>36</v>
      </c>
      <c r="N106" s="204"/>
      <c r="O106" s="435"/>
      <c r="P106" s="53">
        <f>P117/$Z106</f>
        <v>4177.3085461124638</v>
      </c>
      <c r="Q106" s="53">
        <f t="shared" ref="Q106:X106" si="53">Q117/$Z106</f>
        <v>4218.5992781119012</v>
      </c>
      <c r="R106" s="53">
        <f t="shared" si="53"/>
        <v>4272.8536410568749</v>
      </c>
      <c r="S106" s="53">
        <f t="shared" si="53"/>
        <v>4328.1822865901759</v>
      </c>
      <c r="T106" s="53">
        <f t="shared" si="53"/>
        <v>4385.5057611967723</v>
      </c>
      <c r="U106" s="53">
        <f t="shared" si="53"/>
        <v>4442.1105498038778</v>
      </c>
      <c r="V106" s="53">
        <f t="shared" si="53"/>
        <v>4499.2006027406942</v>
      </c>
      <c r="W106" s="53">
        <f t="shared" si="53"/>
        <v>4556.6182403837211</v>
      </c>
      <c r="X106" s="150">
        <f t="shared" si="53"/>
        <v>4614.502282185982</v>
      </c>
      <c r="Z106" s="535">
        <v>0.15608419343215915</v>
      </c>
    </row>
    <row r="107" spans="2:26" s="54" customFormat="1" ht="15" customHeight="1" x14ac:dyDescent="0.25">
      <c r="B107" s="333" t="s">
        <v>338</v>
      </c>
      <c r="C107" s="292" t="s">
        <v>36</v>
      </c>
      <c r="N107" s="204"/>
      <c r="O107" s="435"/>
      <c r="P107" s="53">
        <f t="shared" ref="P107:X108" si="54">P118/$Z107</f>
        <v>1180.8137354660023</v>
      </c>
      <c r="Q107" s="53">
        <f t="shared" si="54"/>
        <v>1170.9957465598268</v>
      </c>
      <c r="R107" s="53">
        <f t="shared" si="54"/>
        <v>1194.0140488342433</v>
      </c>
      <c r="S107" s="53">
        <f t="shared" si="54"/>
        <v>1212.8737587934809</v>
      </c>
      <c r="T107" s="53">
        <f t="shared" si="54"/>
        <v>1240.3432545424555</v>
      </c>
      <c r="U107" s="53">
        <f t="shared" si="54"/>
        <v>1263.6567465246144</v>
      </c>
      <c r="V107" s="53">
        <f t="shared" si="54"/>
        <v>1286.9913729592024</v>
      </c>
      <c r="W107" s="53">
        <f t="shared" si="54"/>
        <v>1310.268821258966</v>
      </c>
      <c r="X107" s="150">
        <f t="shared" si="54"/>
        <v>1334.6911734680041</v>
      </c>
      <c r="Z107" s="535">
        <v>0.11236592814369896</v>
      </c>
    </row>
    <row r="108" spans="2:26" s="54" customFormat="1" ht="15" customHeight="1" x14ac:dyDescent="0.25">
      <c r="B108" s="333" t="s">
        <v>339</v>
      </c>
      <c r="C108" s="292" t="s">
        <v>36</v>
      </c>
      <c r="N108" s="204"/>
      <c r="O108" s="435"/>
      <c r="P108" s="53">
        <f t="shared" si="54"/>
        <v>801.54401346130862</v>
      </c>
      <c r="Q108" s="53">
        <f t="shared" si="54"/>
        <v>799.47641280765254</v>
      </c>
      <c r="R108" s="53">
        <f t="shared" si="54"/>
        <v>797.97561722088824</v>
      </c>
      <c r="S108" s="53">
        <f t="shared" si="54"/>
        <v>796.5957780602331</v>
      </c>
      <c r="T108" s="53">
        <f t="shared" si="54"/>
        <v>795.89322885931108</v>
      </c>
      <c r="U108" s="53">
        <f t="shared" si="54"/>
        <v>794.36697789476023</v>
      </c>
      <c r="V108" s="53">
        <f t="shared" si="54"/>
        <v>792.7148039237162</v>
      </c>
      <c r="W108" s="53">
        <f t="shared" si="54"/>
        <v>790.87000278763401</v>
      </c>
      <c r="X108" s="150">
        <f>X119/$Z108</f>
        <v>788.9281399874709</v>
      </c>
      <c r="Z108" s="535">
        <v>1.9799048340239319E-2</v>
      </c>
    </row>
    <row r="109" spans="2:26" s="54" customFormat="1" ht="15" customHeight="1" x14ac:dyDescent="0.25">
      <c r="B109" s="333" t="s">
        <v>346</v>
      </c>
      <c r="C109" s="292" t="s">
        <v>36</v>
      </c>
      <c r="N109" s="204"/>
      <c r="O109" s="435"/>
      <c r="P109" s="405">
        <f>SUM(P106:P108)</f>
        <v>6159.6662950397749</v>
      </c>
      <c r="Q109" s="405">
        <f t="shared" ref="Q109:W109" si="55">SUM(Q106:Q108)</f>
        <v>6189.0714374793797</v>
      </c>
      <c r="R109" s="405">
        <f t="shared" si="55"/>
        <v>6264.8433071120062</v>
      </c>
      <c r="S109" s="405">
        <f t="shared" si="55"/>
        <v>6337.65182344389</v>
      </c>
      <c r="T109" s="405">
        <f t="shared" si="55"/>
        <v>6421.7422445985394</v>
      </c>
      <c r="U109" s="405">
        <f t="shared" si="55"/>
        <v>6500.1342742232528</v>
      </c>
      <c r="V109" s="405">
        <f t="shared" si="55"/>
        <v>6578.9067796236131</v>
      </c>
      <c r="W109" s="405">
        <f t="shared" si="55"/>
        <v>6657.7570644303205</v>
      </c>
      <c r="X109" s="411">
        <f>SUM(X106:X108)</f>
        <v>6738.1215956414571</v>
      </c>
    </row>
    <row r="110" spans="2:26" s="54" customFormat="1" ht="15" customHeight="1" x14ac:dyDescent="0.25">
      <c r="B110" s="56" t="s">
        <v>343</v>
      </c>
      <c r="C110" s="292"/>
      <c r="N110" s="204"/>
      <c r="O110" s="435"/>
      <c r="P110" s="295"/>
      <c r="Q110" s="295"/>
      <c r="R110" s="295"/>
      <c r="S110" s="295"/>
      <c r="T110" s="295"/>
      <c r="U110" s="295"/>
      <c r="V110" s="295"/>
      <c r="W110" s="295"/>
      <c r="X110" s="300"/>
    </row>
    <row r="111" spans="2:26" s="54" customFormat="1" ht="15" customHeight="1" x14ac:dyDescent="0.25">
      <c r="B111" s="333" t="s">
        <v>340</v>
      </c>
      <c r="C111" s="292" t="s">
        <v>252</v>
      </c>
      <c r="N111" s="204"/>
      <c r="O111" s="435"/>
      <c r="P111" s="617">
        <f>'[4]5.Employ'!M328*1000</f>
        <v>6522.9166156681094</v>
      </c>
      <c r="Q111" s="618">
        <f>'[4]5.Employ'!N328*1000</f>
        <v>6541.8240300417538</v>
      </c>
      <c r="R111" s="618">
        <f>'[4]5.Employ'!O328*1000</f>
        <v>6587.7308200248244</v>
      </c>
      <c r="S111" s="618">
        <f>'[4]5.Employ'!P328*1000</f>
        <v>6637.8917554898535</v>
      </c>
      <c r="T111" s="618">
        <f>'[4]5.Employ'!Q328*1000</f>
        <v>6701.959445517301</v>
      </c>
      <c r="U111" s="618">
        <f>'[4]5.Employ'!R328*1000</f>
        <v>6760.0919992022937</v>
      </c>
      <c r="V111" s="618">
        <f>'[4]5.Employ'!S328*1000</f>
        <v>6819.0855920476934</v>
      </c>
      <c r="W111" s="618">
        <f>'[4]5.Employ'!T328*1000</f>
        <v>6878.9292350355763</v>
      </c>
      <c r="X111" s="592">
        <f>'[4]5.Employ'!U328*1000</f>
        <v>6941.0104892485069</v>
      </c>
    </row>
    <row r="112" spans="2:26" s="54" customFormat="1" ht="15" customHeight="1" x14ac:dyDescent="0.25">
      <c r="B112" s="333" t="s">
        <v>341</v>
      </c>
      <c r="C112" s="292" t="s">
        <v>252</v>
      </c>
      <c r="N112" s="204"/>
      <c r="O112" s="435"/>
      <c r="P112" s="617">
        <f>'[4]5.Employ'!M329*1000</f>
        <v>1494.4160295967154</v>
      </c>
      <c r="Q112" s="618">
        <f>'[4]5.Employ'!N329*1000</f>
        <v>1472.5898731874909</v>
      </c>
      <c r="R112" s="618">
        <f>'[4]5.Employ'!O329*1000</f>
        <v>1485.0223412153266</v>
      </c>
      <c r="S112" s="618">
        <f>'[4]5.Employ'!P329*1000</f>
        <v>1494.6138077528274</v>
      </c>
      <c r="T112" s="618">
        <f>'[4]5.Employ'!Q329*1000</f>
        <v>1516.1868933745668</v>
      </c>
      <c r="U112" s="618">
        <f>'[4]5.Employ'!R329*1000</f>
        <v>1532.1008356051411</v>
      </c>
      <c r="V112" s="618">
        <f>'[4]5.Employ'!S329*1000</f>
        <v>1548.0888128074134</v>
      </c>
      <c r="W112" s="618">
        <f>'[4]5.Employ'!T329*1000</f>
        <v>1564.146143499974</v>
      </c>
      <c r="X112" s="592">
        <f>'[4]5.Employ'!U329*1000</f>
        <v>1581.7974314233313</v>
      </c>
    </row>
    <row r="113" spans="2:24" s="54" customFormat="1" ht="15" customHeight="1" x14ac:dyDescent="0.25">
      <c r="B113" s="333" t="s">
        <v>342</v>
      </c>
      <c r="C113" s="292" t="s">
        <v>252</v>
      </c>
      <c r="N113" s="204"/>
      <c r="O113" s="435"/>
      <c r="P113" s="617">
        <f>'[4]5.Employ'!M330*1000</f>
        <v>212.14727877861105</v>
      </c>
      <c r="Q113" s="618">
        <f>'[4]5.Employ'!N330*1000</f>
        <v>209.46544566216417</v>
      </c>
      <c r="R113" s="618">
        <f>'[4]5.Employ'!O330*1000</f>
        <v>207.63553527090943</v>
      </c>
      <c r="S113" s="618">
        <f>'[4]5.Employ'!P330*1000</f>
        <v>206.06099856408147</v>
      </c>
      <c r="T113" s="618">
        <f>'[4]5.Employ'!Q330*1000</f>
        <v>205.43591517441834</v>
      </c>
      <c r="U113" s="618">
        <f>'[4]5.Employ'!R330*1000</f>
        <v>204.3469399681014</v>
      </c>
      <c r="V113" s="618">
        <f>'[4]5.Employ'!S330*1000</f>
        <v>203.28237082411866</v>
      </c>
      <c r="W113" s="618">
        <f>'[4]5.Employ'!T330*1000</f>
        <v>202.2442780476199</v>
      </c>
      <c r="X113" s="592">
        <f>'[4]5.Employ'!U330*1000</f>
        <v>201.33416626602647</v>
      </c>
    </row>
    <row r="114" spans="2:24" s="54" customFormat="1" ht="15" customHeight="1" x14ac:dyDescent="0.25">
      <c r="B114" s="333" t="s">
        <v>345</v>
      </c>
      <c r="C114" s="292" t="s">
        <v>252</v>
      </c>
      <c r="N114" s="204"/>
      <c r="O114" s="435"/>
      <c r="P114" s="53">
        <f>SUM(P111:P113)</f>
        <v>8229.4799240434368</v>
      </c>
      <c r="Q114" s="53">
        <f t="shared" ref="Q114:X114" si="56">SUM(Q111:Q113)</f>
        <v>8223.8793488914089</v>
      </c>
      <c r="R114" s="53">
        <f t="shared" si="56"/>
        <v>8280.3886965110596</v>
      </c>
      <c r="S114" s="53">
        <f t="shared" si="56"/>
        <v>8338.5665618067633</v>
      </c>
      <c r="T114" s="53">
        <f t="shared" si="56"/>
        <v>8423.5822540662848</v>
      </c>
      <c r="U114" s="53">
        <f t="shared" si="56"/>
        <v>8496.539774775536</v>
      </c>
      <c r="V114" s="53">
        <f t="shared" si="56"/>
        <v>8570.4567756792258</v>
      </c>
      <c r="W114" s="53">
        <f t="shared" si="56"/>
        <v>8645.3196565831695</v>
      </c>
      <c r="X114" s="150">
        <f t="shared" si="56"/>
        <v>8724.1420869378635</v>
      </c>
    </row>
    <row r="115" spans="2:24" s="54" customFormat="1" ht="15" customHeight="1" x14ac:dyDescent="0.25">
      <c r="B115" s="333" t="s">
        <v>344</v>
      </c>
      <c r="C115" s="292" t="s">
        <v>252</v>
      </c>
      <c r="N115" s="204"/>
      <c r="O115" s="435"/>
      <c r="P115" s="634">
        <f ca="1">SUM('[4]5.Employ'!M314:M326)*1000</f>
        <v>3874387.3658760013</v>
      </c>
      <c r="Q115" s="634">
        <f ca="1">SUM('[4]5.Employ'!N314:N326)*1000</f>
        <v>3916055.3965278817</v>
      </c>
      <c r="R115" s="634">
        <f ca="1">SUM('[4]5.Employ'!O314:O326)*1000</f>
        <v>3955010.5427402207</v>
      </c>
      <c r="S115" s="634">
        <f ca="1">SUM('[4]5.Employ'!P314:P326)*1000</f>
        <v>3992757.1994380541</v>
      </c>
      <c r="T115" s="634">
        <f ca="1">SUM('[4]5.Employ'!Q314:Q326)*1000</f>
        <v>4029100.4754604278</v>
      </c>
      <c r="U115" s="634">
        <f ca="1">SUM('[4]5.Employ'!R314:R326)*1000</f>
        <v>4064104.7946947794</v>
      </c>
      <c r="V115" s="634">
        <f ca="1">SUM('[4]5.Employ'!S314:S326)*1000</f>
        <v>4100967.3449955937</v>
      </c>
      <c r="W115" s="634">
        <f ca="1">SUM('[4]5.Employ'!T314:T326)*1000</f>
        <v>4138057.795005261</v>
      </c>
      <c r="X115" s="639">
        <f ca="1">SUM('[4]5.Employ'!U314:U326)*1000</f>
        <v>4175408.0403595818</v>
      </c>
    </row>
    <row r="116" spans="2:24" s="54" customFormat="1" ht="15" customHeight="1" x14ac:dyDescent="0.25">
      <c r="B116" s="56" t="s">
        <v>325</v>
      </c>
      <c r="C116" s="292"/>
      <c r="N116" s="204"/>
      <c r="O116" s="435"/>
      <c r="P116" s="295"/>
      <c r="Q116" s="295"/>
      <c r="R116" s="295"/>
      <c r="S116" s="295"/>
      <c r="T116" s="295"/>
      <c r="U116" s="295"/>
      <c r="V116" s="295"/>
      <c r="W116" s="295"/>
      <c r="X116" s="300"/>
    </row>
    <row r="117" spans="2:24" s="54" customFormat="1" ht="15" customHeight="1" x14ac:dyDescent="0.25">
      <c r="B117" s="333" t="s">
        <v>340</v>
      </c>
      <c r="C117" s="292" t="s">
        <v>36</v>
      </c>
      <c r="N117" s="204"/>
      <c r="O117" s="435"/>
      <c r="P117" s="618">
        <f>'[4]4.IGVA'!M391</f>
        <v>652.01183513722935</v>
      </c>
      <c r="Q117" s="618">
        <f>'[4]4.IGVA'!N391</f>
        <v>658.45666573758501</v>
      </c>
      <c r="R117" s="618">
        <f>'[4]4.IGVA'!O391</f>
        <v>666.92491421802674</v>
      </c>
      <c r="S117" s="618">
        <f>'[4]4.IGVA'!P391</f>
        <v>675.56084122978586</v>
      </c>
      <c r="T117" s="618">
        <f>'[4]4.IGVA'!Q391</f>
        <v>684.50812952848537</v>
      </c>
      <c r="U117" s="618">
        <f>'[4]4.IGVA'!R391</f>
        <v>693.34324230262325</v>
      </c>
      <c r="V117" s="618">
        <f>'[4]4.IGVA'!S391</f>
        <v>702.2540971682655</v>
      </c>
      <c r="W117" s="618">
        <f>'[4]4.IGVA'!T391</f>
        <v>711.21608282855732</v>
      </c>
      <c r="X117" s="592">
        <f>'[4]4.IGVA'!U391</f>
        <v>720.25086680585662</v>
      </c>
    </row>
    <row r="118" spans="2:24" s="54" customFormat="1" ht="15" customHeight="1" x14ac:dyDescent="0.25">
      <c r="B118" s="333" t="s">
        <v>341</v>
      </c>
      <c r="C118" s="292" t="s">
        <v>36</v>
      </c>
      <c r="N118" s="204"/>
      <c r="O118" s="435"/>
      <c r="P118" s="618">
        <f>'[4]4.IGVA'!M392</f>
        <v>132.68323135046558</v>
      </c>
      <c r="Q118" s="618">
        <f>'[4]4.IGVA'!N392</f>
        <v>131.58002391451862</v>
      </c>
      <c r="R118" s="618">
        <f>'[4]4.IGVA'!O392</f>
        <v>134.16649681387565</v>
      </c>
      <c r="S118" s="618">
        <f>'[4]4.IGVA'!P392</f>
        <v>136.28568562796633</v>
      </c>
      <c r="T118" s="618">
        <f>'[4]4.IGVA'!Q392</f>
        <v>139.37232101343926</v>
      </c>
      <c r="U118" s="618">
        <f>'[4]4.IGVA'!R392</f>
        <v>141.99196317828523</v>
      </c>
      <c r="V118" s="618">
        <f>'[4]4.IGVA'!S392</f>
        <v>144.61398013549422</v>
      </c>
      <c r="W118" s="618">
        <f>'[4]4.IGVA'!T392</f>
        <v>147.22957221851411</v>
      </c>
      <c r="X118" s="592">
        <f>'[4]4.IGVA'!U392</f>
        <v>149.97381249193498</v>
      </c>
    </row>
    <row r="119" spans="2:24" s="54" customFormat="1" ht="15" customHeight="1" x14ac:dyDescent="0.25">
      <c r="B119" s="333" t="s">
        <v>342</v>
      </c>
      <c r="C119" s="292" t="s">
        <v>36</v>
      </c>
      <c r="N119" s="204"/>
      <c r="O119" s="435"/>
      <c r="P119" s="618">
        <f>'[4]4.IGVA'!M393</f>
        <v>15.869808669349885</v>
      </c>
      <c r="Q119" s="618">
        <f>'[4]4.IGVA'!N393</f>
        <v>15.828872144059838</v>
      </c>
      <c r="R119" s="618">
        <f>'[4]4.IGVA'!O393</f>
        <v>15.799157819688673</v>
      </c>
      <c r="S119" s="618">
        <f>'[4]4.IGVA'!P393</f>
        <v>15.771838317445107</v>
      </c>
      <c r="T119" s="618">
        <f>'[4]4.IGVA'!Q393</f>
        <v>15.757928511854656</v>
      </c>
      <c r="U119" s="618">
        <f>'[4]4.IGVA'!R393</f>
        <v>15.727710195228177</v>
      </c>
      <c r="V119" s="618">
        <f>'[4]4.IGVA'!S393</f>
        <v>15.694998722908991</v>
      </c>
      <c r="W119" s="618">
        <f>'[4]4.IGVA'!T393</f>
        <v>15.658473416037571</v>
      </c>
      <c r="X119" s="592">
        <f>'[4]4.IGVA'!U393</f>
        <v>15.620026380587028</v>
      </c>
    </row>
    <row r="120" spans="2:24" s="54" customFormat="1" ht="15" customHeight="1" x14ac:dyDescent="0.25">
      <c r="B120" s="333" t="s">
        <v>345</v>
      </c>
      <c r="C120" s="292" t="s">
        <v>36</v>
      </c>
      <c r="N120" s="204"/>
      <c r="O120" s="435"/>
      <c r="P120" s="291">
        <f>SUM(P117:P119)</f>
        <v>800.56487515704487</v>
      </c>
      <c r="Q120" s="291">
        <f t="shared" ref="Q120:X120" si="57">SUM(Q117:Q119)</f>
        <v>805.86556179616343</v>
      </c>
      <c r="R120" s="291">
        <f t="shared" si="57"/>
        <v>816.89056885159107</v>
      </c>
      <c r="S120" s="291">
        <f t="shared" si="57"/>
        <v>827.61836517519737</v>
      </c>
      <c r="T120" s="291">
        <f t="shared" si="57"/>
        <v>839.6383790537792</v>
      </c>
      <c r="U120" s="291">
        <f t="shared" si="57"/>
        <v>851.06291567613664</v>
      </c>
      <c r="V120" s="291">
        <f t="shared" si="57"/>
        <v>862.56307602666868</v>
      </c>
      <c r="W120" s="291">
        <f t="shared" si="57"/>
        <v>874.10412846310908</v>
      </c>
      <c r="X120" s="290">
        <f t="shared" si="57"/>
        <v>885.84470567837855</v>
      </c>
    </row>
    <row r="121" spans="2:24" s="54" customFormat="1" ht="15" customHeight="1" x14ac:dyDescent="0.25">
      <c r="B121" s="333" t="s">
        <v>344</v>
      </c>
      <c r="C121" s="292" t="s">
        <v>36</v>
      </c>
      <c r="N121" s="204"/>
      <c r="O121" s="435"/>
      <c r="P121" s="618">
        <f ca="1">SUM('[4]4.IGVA'!M377:M390)</f>
        <v>460798.89238016028</v>
      </c>
      <c r="Q121" s="618">
        <f ca="1">SUM('[4]4.IGVA'!N377:N390)</f>
        <v>472097.64772919455</v>
      </c>
      <c r="R121" s="618">
        <f ca="1">SUM('[4]4.IGVA'!O377:O390)</f>
        <v>483850.12650248135</v>
      </c>
      <c r="S121" s="618">
        <f ca="1">SUM('[4]4.IGVA'!P377:P390)</f>
        <v>496523.47426733421</v>
      </c>
      <c r="T121" s="618">
        <f ca="1">SUM('[4]4.IGVA'!Q377:Q390)</f>
        <v>509230.93188780057</v>
      </c>
      <c r="U121" s="618">
        <f ca="1">SUM('[4]4.IGVA'!R377:R390)</f>
        <v>522361.69998584187</v>
      </c>
      <c r="V121" s="618">
        <f ca="1">SUM('[4]4.IGVA'!S377:S390)</f>
        <v>536323.74478567368</v>
      </c>
      <c r="W121" s="618">
        <f ca="1">SUM('[4]4.IGVA'!T377:T390)</f>
        <v>550780.45347269392</v>
      </c>
      <c r="X121" s="592">
        <f ca="1">SUM('[4]4.IGVA'!U377:U390)</f>
        <v>565539.51452132885</v>
      </c>
    </row>
    <row r="122" spans="2:24" s="54" customFormat="1" ht="15" customHeight="1" x14ac:dyDescent="0.25">
      <c r="B122" s="333" t="s">
        <v>362</v>
      </c>
      <c r="C122" s="292" t="s">
        <v>36</v>
      </c>
      <c r="N122" s="204"/>
      <c r="O122" s="435"/>
      <c r="P122" s="53">
        <f ca="1">P123-SUM(P121,P120)</f>
        <v>32863.016101508343</v>
      </c>
      <c r="Q122" s="53">
        <f t="shared" ref="Q122:X122" ca="1" si="58">Q123-SUM(Q121,Q120)</f>
        <v>32870.58028382971</v>
      </c>
      <c r="R122" s="53">
        <f t="shared" ca="1" si="58"/>
        <v>32840.125081054866</v>
      </c>
      <c r="S122" s="53">
        <f t="shared" ca="1" si="58"/>
        <v>32812.411191214109</v>
      </c>
      <c r="T122" s="53">
        <f t="shared" ca="1" si="58"/>
        <v>32863.459020624636</v>
      </c>
      <c r="U122" s="53">
        <f t="shared" ca="1" si="58"/>
        <v>32813.251807781751</v>
      </c>
      <c r="V122" s="53">
        <f t="shared" ca="1" si="58"/>
        <v>32667.128589194734</v>
      </c>
      <c r="W122" s="53">
        <f t="shared" ca="1" si="58"/>
        <v>32523.398652491509</v>
      </c>
      <c r="X122" s="150">
        <f t="shared" ca="1" si="58"/>
        <v>32400.859279701486</v>
      </c>
    </row>
    <row r="123" spans="2:24" s="54" customFormat="1" ht="15" customHeight="1" x14ac:dyDescent="0.25">
      <c r="B123" s="416" t="s">
        <v>364</v>
      </c>
      <c r="C123" s="293" t="s">
        <v>36</v>
      </c>
      <c r="D123" s="242"/>
      <c r="E123" s="242"/>
      <c r="F123" s="242"/>
      <c r="G123" s="242"/>
      <c r="H123" s="242"/>
      <c r="I123" s="242"/>
      <c r="J123" s="242"/>
      <c r="K123" s="242"/>
      <c r="L123" s="242"/>
      <c r="M123" s="242"/>
      <c r="N123" s="425"/>
      <c r="O123" s="440"/>
      <c r="P123" s="615">
        <f ca="1">'[4]3.Macro'!Q19</f>
        <v>494462.47335682565</v>
      </c>
      <c r="Q123" s="615">
        <f ca="1">'[4]3.Macro'!R19</f>
        <v>505774.09357482044</v>
      </c>
      <c r="R123" s="615">
        <f ca="1">'[4]3.Macro'!S19</f>
        <v>517507.14215238782</v>
      </c>
      <c r="S123" s="615">
        <f ca="1">'[4]3.Macro'!T19</f>
        <v>530163.50382372353</v>
      </c>
      <c r="T123" s="615">
        <f ca="1">'[4]3.Macro'!U19</f>
        <v>542934.029287479</v>
      </c>
      <c r="U123" s="615">
        <f ca="1">'[4]3.Macro'!V19</f>
        <v>556026.01470929978</v>
      </c>
      <c r="V123" s="615">
        <f ca="1">'[4]3.Macro'!W19</f>
        <v>569853.43645089504</v>
      </c>
      <c r="W123" s="615">
        <f ca="1">'[4]3.Macro'!X19</f>
        <v>584177.9562536485</v>
      </c>
      <c r="X123" s="616">
        <f ca="1">'[4]3.Macro'!Y19</f>
        <v>598826.21850670874</v>
      </c>
    </row>
    <row r="124" spans="2:24" s="54" customFormat="1" ht="15" customHeight="1" x14ac:dyDescent="0.25">
      <c r="B124" s="333"/>
      <c r="C124" s="300"/>
      <c r="N124" s="204"/>
      <c r="O124" s="435"/>
      <c r="P124" s="295"/>
      <c r="Q124" s="295"/>
      <c r="R124" s="295"/>
      <c r="S124" s="295"/>
      <c r="T124" s="295"/>
      <c r="U124" s="295"/>
      <c r="V124" s="295"/>
      <c r="W124" s="295"/>
      <c r="X124" s="300"/>
    </row>
    <row r="125" spans="2:24" s="54" customFormat="1" ht="21.75" customHeight="1" x14ac:dyDescent="0.35">
      <c r="B125" s="484" t="s">
        <v>412</v>
      </c>
      <c r="C125" s="334"/>
      <c r="N125" s="204"/>
      <c r="O125" s="435"/>
      <c r="P125" s="295"/>
      <c r="Q125" s="295"/>
      <c r="R125" s="295"/>
      <c r="S125" s="295"/>
      <c r="T125" s="295"/>
      <c r="U125" s="295"/>
      <c r="V125" s="295"/>
      <c r="W125" s="295"/>
      <c r="X125" s="300"/>
    </row>
    <row r="126" spans="2:24" s="54" customFormat="1" ht="15" customHeight="1" x14ac:dyDescent="0.25">
      <c r="B126" s="56" t="s">
        <v>348</v>
      </c>
      <c r="C126" s="292" t="s">
        <v>36</v>
      </c>
      <c r="N126" s="204"/>
      <c r="O126" s="435"/>
      <c r="P126" s="53">
        <f ca="1">P99-P72</f>
        <v>-96.492199999996956</v>
      </c>
      <c r="Q126" s="53">
        <f t="shared" ref="Q126:X126" ca="1" si="59">Q99-Q72</f>
        <v>-98.637199999997392</v>
      </c>
      <c r="R126" s="53">
        <f t="shared" ca="1" si="59"/>
        <v>-101.75382999999783</v>
      </c>
      <c r="S126" s="53">
        <f t="shared" ca="1" si="59"/>
        <v>-105.22432999999728</v>
      </c>
      <c r="T126" s="53">
        <f t="shared" ca="1" si="59"/>
        <v>-109.76172999999835</v>
      </c>
      <c r="U126" s="53">
        <f t="shared" ca="1" si="59"/>
        <v>-113.83992999999828</v>
      </c>
      <c r="V126" s="53">
        <f t="shared" ca="1" si="59"/>
        <v>-117.12842999999702</v>
      </c>
      <c r="W126" s="53">
        <f t="shared" ca="1" si="59"/>
        <v>-120.51322999999684</v>
      </c>
      <c r="X126" s="150">
        <f t="shared" ca="1" si="59"/>
        <v>-123.91212999999698</v>
      </c>
    </row>
    <row r="127" spans="2:24" s="54" customFormat="1" ht="15" customHeight="1" x14ac:dyDescent="0.25">
      <c r="B127" s="56" t="s">
        <v>333</v>
      </c>
      <c r="C127" s="292"/>
      <c r="N127" s="204"/>
      <c r="O127" s="435"/>
      <c r="P127" s="35"/>
      <c r="Q127" s="35"/>
      <c r="R127" s="35"/>
      <c r="S127" s="35"/>
      <c r="T127" s="35"/>
      <c r="U127" s="35"/>
      <c r="V127" s="35"/>
      <c r="W127" s="35"/>
      <c r="X127" s="24"/>
    </row>
    <row r="128" spans="2:24" s="54" customFormat="1" ht="15" customHeight="1" x14ac:dyDescent="0.25">
      <c r="B128" s="333" t="s">
        <v>334</v>
      </c>
      <c r="C128" s="292" t="s">
        <v>36</v>
      </c>
      <c r="N128" s="204"/>
      <c r="O128" s="435"/>
      <c r="P128" s="53">
        <f>P101</f>
        <v>241.97153494778263</v>
      </c>
      <c r="Q128" s="53">
        <f t="shared" ref="Q128:X128" si="60">Q101</f>
        <v>484.61112735198515</v>
      </c>
      <c r="R128" s="53">
        <f t="shared" si="60"/>
        <v>728.34925360098259</v>
      </c>
      <c r="S128" s="53">
        <f t="shared" si="60"/>
        <v>973.15319090249363</v>
      </c>
      <c r="T128" s="53">
        <f t="shared" si="60"/>
        <v>1219.0960892254525</v>
      </c>
      <c r="U128" s="53">
        <f t="shared" si="60"/>
        <v>1466.1511400104639</v>
      </c>
      <c r="V128" s="53">
        <f t="shared" si="60"/>
        <v>1714.3219146396414</v>
      </c>
      <c r="W128" s="53">
        <f t="shared" si="60"/>
        <v>1963.6113986876167</v>
      </c>
      <c r="X128" s="150">
        <f t="shared" si="60"/>
        <v>2214.0317029285893</v>
      </c>
    </row>
    <row r="129" spans="2:24" s="54" customFormat="1" ht="15" customHeight="1" x14ac:dyDescent="0.25">
      <c r="B129" s="333" t="s">
        <v>331</v>
      </c>
      <c r="C129" s="292" t="s">
        <v>36</v>
      </c>
      <c r="N129" s="204"/>
      <c r="O129" s="435"/>
      <c r="P129" s="53">
        <f t="shared" ref="P129:X129" si="61">P102</f>
        <v>44.937570776016777</v>
      </c>
      <c r="Q129" s="53">
        <f t="shared" si="61"/>
        <v>89.999209365368671</v>
      </c>
      <c r="R129" s="53">
        <f t="shared" si="61"/>
        <v>135.26486138303963</v>
      </c>
      <c r="S129" s="53">
        <f t="shared" si="61"/>
        <v>180.72844973903455</v>
      </c>
      <c r="T129" s="53">
        <f t="shared" si="61"/>
        <v>226.40355942758407</v>
      </c>
      <c r="U129" s="53">
        <f t="shared" si="61"/>
        <v>272.28521171622901</v>
      </c>
      <c r="V129" s="53">
        <f t="shared" si="61"/>
        <v>318.37406986164768</v>
      </c>
      <c r="W129" s="53">
        <f t="shared" si="61"/>
        <v>364.67068832770025</v>
      </c>
      <c r="X129" s="150">
        <f t="shared" si="61"/>
        <v>411.17731625816663</v>
      </c>
    </row>
    <row r="130" spans="2:24" s="54" customFormat="1" ht="15" customHeight="1" x14ac:dyDescent="0.25">
      <c r="B130" s="333" t="s">
        <v>335</v>
      </c>
      <c r="C130" s="292" t="s">
        <v>36</v>
      </c>
      <c r="N130" s="204"/>
      <c r="O130" s="435"/>
      <c r="P130" s="53">
        <f t="shared" ref="P130:X130" si="62">P103</f>
        <v>58.764515630175786</v>
      </c>
      <c r="Q130" s="53">
        <f t="shared" si="62"/>
        <v>117.69127378548211</v>
      </c>
      <c r="R130" s="53">
        <f t="shared" si="62"/>
        <v>176.88481873166722</v>
      </c>
      <c r="S130" s="53">
        <f t="shared" si="62"/>
        <v>236.33720350489136</v>
      </c>
      <c r="T130" s="53">
        <f t="shared" si="62"/>
        <v>296.06619309760993</v>
      </c>
      <c r="U130" s="53">
        <f t="shared" si="62"/>
        <v>356.0652768596841</v>
      </c>
      <c r="V130" s="53">
        <f t="shared" si="62"/>
        <v>416.33532212677005</v>
      </c>
      <c r="W130" s="53">
        <f t="shared" si="62"/>
        <v>476.87705396699266</v>
      </c>
      <c r="X130" s="150">
        <f t="shared" si="62"/>
        <v>537.69341356837174</v>
      </c>
    </row>
    <row r="131" spans="2:24" s="54" customFormat="1" ht="15" customHeight="1" x14ac:dyDescent="0.25">
      <c r="B131" s="333" t="s">
        <v>345</v>
      </c>
      <c r="C131" s="292" t="s">
        <v>36</v>
      </c>
      <c r="N131" s="204"/>
      <c r="O131" s="435"/>
      <c r="P131" s="53">
        <f>P104</f>
        <v>345.67362135397519</v>
      </c>
      <c r="Q131" s="53">
        <f t="shared" ref="Q131:X131" si="63">Q104</f>
        <v>692.30161050283596</v>
      </c>
      <c r="R131" s="53">
        <f t="shared" si="63"/>
        <v>1040.4989337156894</v>
      </c>
      <c r="S131" s="53">
        <f t="shared" si="63"/>
        <v>1390.2188441464195</v>
      </c>
      <c r="T131" s="53">
        <f t="shared" si="63"/>
        <v>1741.5658417506465</v>
      </c>
      <c r="U131" s="53">
        <f t="shared" si="63"/>
        <v>2094.5016285863771</v>
      </c>
      <c r="V131" s="53">
        <f t="shared" si="63"/>
        <v>2449.0313066280592</v>
      </c>
      <c r="W131" s="53">
        <f t="shared" si="63"/>
        <v>2805.1591409823095</v>
      </c>
      <c r="X131" s="150">
        <f t="shared" si="63"/>
        <v>3162.9024327551278</v>
      </c>
    </row>
    <row r="132" spans="2:24" s="54" customFormat="1" ht="15" customHeight="1" x14ac:dyDescent="0.25">
      <c r="B132" s="56" t="s">
        <v>336</v>
      </c>
      <c r="C132" s="292"/>
      <c r="N132" s="204"/>
      <c r="O132" s="435"/>
      <c r="P132" s="295"/>
      <c r="Q132" s="295"/>
      <c r="R132" s="295"/>
      <c r="S132" s="295"/>
      <c r="T132" s="295"/>
      <c r="U132" s="295"/>
      <c r="V132" s="295"/>
      <c r="W132" s="295"/>
      <c r="X132" s="300"/>
    </row>
    <row r="133" spans="2:24" s="54" customFormat="1" ht="15" customHeight="1" x14ac:dyDescent="0.25">
      <c r="B133" s="333" t="s">
        <v>337</v>
      </c>
      <c r="C133" s="292" t="s">
        <v>36</v>
      </c>
      <c r="N133" s="204"/>
      <c r="O133" s="435"/>
      <c r="P133" s="409">
        <f>P106-P79</f>
        <v>234.8799450477095</v>
      </c>
      <c r="Q133" s="409">
        <f t="shared" ref="Q133:X133" si="64">Q106-Q79</f>
        <v>239.16301876734906</v>
      </c>
      <c r="R133" s="409">
        <f t="shared" si="64"/>
        <v>255.84399329877942</v>
      </c>
      <c r="S133" s="409">
        <f t="shared" si="64"/>
        <v>273.10659926989547</v>
      </c>
      <c r="T133" s="409">
        <f t="shared" si="64"/>
        <v>291.93115704939009</v>
      </c>
      <c r="U133" s="409">
        <f t="shared" si="64"/>
        <v>309.65366622719375</v>
      </c>
      <c r="V133" s="409">
        <f t="shared" si="64"/>
        <v>327.51955383650238</v>
      </c>
      <c r="W133" s="409">
        <f t="shared" si="64"/>
        <v>345.40622983879257</v>
      </c>
      <c r="X133" s="414">
        <f t="shared" si="64"/>
        <v>363.48246379819284</v>
      </c>
    </row>
    <row r="134" spans="2:24" s="54" customFormat="1" ht="15" customHeight="1" x14ac:dyDescent="0.25">
      <c r="B134" s="333" t="s">
        <v>338</v>
      </c>
      <c r="C134" s="292" t="s">
        <v>36</v>
      </c>
      <c r="N134" s="204"/>
      <c r="O134" s="435"/>
      <c r="P134" s="409">
        <f>P107-P80</f>
        <v>126.47173546600243</v>
      </c>
      <c r="Q134" s="409">
        <f t="shared" ref="Q134:X134" si="65">Q107-Q80</f>
        <v>133.66474655982688</v>
      </c>
      <c r="R134" s="409">
        <f t="shared" si="65"/>
        <v>141.6940488342434</v>
      </c>
      <c r="S134" s="409">
        <f t="shared" si="65"/>
        <v>149.95600879348081</v>
      </c>
      <c r="T134" s="409">
        <f t="shared" si="65"/>
        <v>159.14306704245564</v>
      </c>
      <c r="U134" s="409">
        <f t="shared" si="65"/>
        <v>167.74201214961431</v>
      </c>
      <c r="V134" s="409">
        <f t="shared" si="65"/>
        <v>176.43070499045257</v>
      </c>
      <c r="W134" s="409">
        <f t="shared" si="65"/>
        <v>185.14798629802863</v>
      </c>
      <c r="X134" s="414">
        <f t="shared" si="65"/>
        <v>194.01956726683215</v>
      </c>
    </row>
    <row r="135" spans="2:24" s="54" customFormat="1" ht="15" customHeight="1" x14ac:dyDescent="0.25">
      <c r="B135" s="333" t="s">
        <v>339</v>
      </c>
      <c r="C135" s="292" t="s">
        <v>36</v>
      </c>
      <c r="N135" s="204"/>
      <c r="O135" s="435"/>
      <c r="P135" s="409">
        <f>P108-P81</f>
        <v>141.24601346130862</v>
      </c>
      <c r="Q135" s="409">
        <f t="shared" ref="Q135:X135" si="66">Q108-Q81</f>
        <v>147.19241280765254</v>
      </c>
      <c r="R135" s="409">
        <f t="shared" si="66"/>
        <v>153.70561722088826</v>
      </c>
      <c r="S135" s="409">
        <f t="shared" si="66"/>
        <v>160.33977806023302</v>
      </c>
      <c r="T135" s="409">
        <f t="shared" si="66"/>
        <v>167.65122885931112</v>
      </c>
      <c r="U135" s="409">
        <f t="shared" si="66"/>
        <v>174.13897789476016</v>
      </c>
      <c r="V135" s="409">
        <f t="shared" si="66"/>
        <v>180.50080392371615</v>
      </c>
      <c r="W135" s="409">
        <f t="shared" si="66"/>
        <v>186.67000278763396</v>
      </c>
      <c r="X135" s="414">
        <f t="shared" si="66"/>
        <v>192.74213998747086</v>
      </c>
    </row>
    <row r="136" spans="2:24" s="54" customFormat="1" ht="15" customHeight="1" x14ac:dyDescent="0.25">
      <c r="B136" s="333" t="s">
        <v>346</v>
      </c>
      <c r="C136" s="292" t="s">
        <v>36</v>
      </c>
      <c r="N136" s="204"/>
      <c r="O136" s="435"/>
      <c r="P136" s="525">
        <f>SUM(P133:P135)</f>
        <v>502.59769397502055</v>
      </c>
      <c r="Q136" s="525">
        <f t="shared" ref="Q136:X136" si="67">SUM(Q133:Q135)</f>
        <v>520.02017813482848</v>
      </c>
      <c r="R136" s="525">
        <f t="shared" si="67"/>
        <v>551.24365935391108</v>
      </c>
      <c r="S136" s="525">
        <f t="shared" si="67"/>
        <v>583.40238612360929</v>
      </c>
      <c r="T136" s="525">
        <f t="shared" si="67"/>
        <v>618.72545295115685</v>
      </c>
      <c r="U136" s="525">
        <f t="shared" si="67"/>
        <v>651.53465627156822</v>
      </c>
      <c r="V136" s="525">
        <f t="shared" si="67"/>
        <v>684.4510627506711</v>
      </c>
      <c r="W136" s="525">
        <f t="shared" si="67"/>
        <v>717.22421892445516</v>
      </c>
      <c r="X136" s="526">
        <f t="shared" si="67"/>
        <v>750.24417105249586</v>
      </c>
    </row>
    <row r="137" spans="2:24" s="54" customFormat="1" ht="15" customHeight="1" x14ac:dyDescent="0.25">
      <c r="B137" s="56" t="s">
        <v>343</v>
      </c>
      <c r="C137" s="292"/>
      <c r="N137" s="204"/>
      <c r="O137" s="435"/>
      <c r="P137" s="295"/>
      <c r="Q137" s="295"/>
      <c r="R137" s="295"/>
      <c r="S137" s="295"/>
      <c r="T137" s="295"/>
      <c r="U137" s="295"/>
      <c r="V137" s="295"/>
      <c r="W137" s="295"/>
      <c r="X137" s="300"/>
    </row>
    <row r="138" spans="2:24" s="54" customFormat="1" ht="15" customHeight="1" x14ac:dyDescent="0.25">
      <c r="B138" s="333" t="s">
        <v>571</v>
      </c>
      <c r="C138" s="292" t="s">
        <v>252</v>
      </c>
      <c r="N138" s="204"/>
      <c r="O138" s="435"/>
      <c r="P138" s="53">
        <f>P111-P84</f>
        <v>1422.3366898466338</v>
      </c>
      <c r="Q138" s="53">
        <f t="shared" ref="Q138:X138" si="68">Q111-Q84</f>
        <v>1408.2062290880476</v>
      </c>
      <c r="R138" s="53">
        <f t="shared" si="68"/>
        <v>1405.9769828413509</v>
      </c>
      <c r="S138" s="53">
        <f t="shared" si="68"/>
        <v>1407.3135790687702</v>
      </c>
      <c r="T138" s="53">
        <f t="shared" si="68"/>
        <v>1421.9521393810228</v>
      </c>
      <c r="U138" s="53">
        <f t="shared" si="68"/>
        <v>1430.1199518275016</v>
      </c>
      <c r="V138" s="53">
        <f t="shared" si="68"/>
        <v>1438.6711407054509</v>
      </c>
      <c r="W138" s="53">
        <f t="shared" si="68"/>
        <v>1447.6437420869124</v>
      </c>
      <c r="X138" s="150">
        <f t="shared" si="68"/>
        <v>1458.4671615759025</v>
      </c>
    </row>
    <row r="139" spans="2:24" s="54" customFormat="1" ht="15" customHeight="1" x14ac:dyDescent="0.25">
      <c r="B139" s="333" t="s">
        <v>157</v>
      </c>
      <c r="C139" s="292" t="s">
        <v>252</v>
      </c>
      <c r="N139" s="204"/>
      <c r="O139" s="435"/>
      <c r="P139" s="53">
        <f t="shared" ref="P139" si="69">P112-P85</f>
        <v>507.14838450601667</v>
      </c>
      <c r="Q139" s="53">
        <f t="shared" ref="Q139:X139" si="70">Q112-Q85</f>
        <v>501.25103479389611</v>
      </c>
      <c r="R139" s="53">
        <f t="shared" si="70"/>
        <v>499.6480620138492</v>
      </c>
      <c r="S139" s="53">
        <f t="shared" si="70"/>
        <v>499.31597842647579</v>
      </c>
      <c r="T139" s="53">
        <f t="shared" si="70"/>
        <v>503.76970522807653</v>
      </c>
      <c r="U139" s="53">
        <f t="shared" si="70"/>
        <v>505.90519981845637</v>
      </c>
      <c r="V139" s="53">
        <f t="shared" si="70"/>
        <v>508.17897767245631</v>
      </c>
      <c r="W139" s="53">
        <f t="shared" si="70"/>
        <v>510.60241938164677</v>
      </c>
      <c r="X139" s="150">
        <f t="shared" si="70"/>
        <v>513.69223360700994</v>
      </c>
    </row>
    <row r="140" spans="2:24" s="54" customFormat="1" ht="15" customHeight="1" x14ac:dyDescent="0.25">
      <c r="B140" s="333" t="s">
        <v>572</v>
      </c>
      <c r="C140" s="292" t="s">
        <v>252</v>
      </c>
      <c r="N140" s="204"/>
      <c r="O140" s="435"/>
      <c r="P140" s="53">
        <f>P113-P86</f>
        <v>101.26103596997966</v>
      </c>
      <c r="Q140" s="53">
        <f t="shared" ref="Q140:X140" si="71">Q113-Q86</f>
        <v>99.925022998177127</v>
      </c>
      <c r="R140" s="53">
        <f t="shared" si="71"/>
        <v>99.440932751566734</v>
      </c>
      <c r="S140" s="53">
        <f t="shared" si="71"/>
        <v>99.212216189383113</v>
      </c>
      <c r="T140" s="53">
        <f t="shared" si="71"/>
        <v>99.932952944364345</v>
      </c>
      <c r="U140" s="53">
        <f t="shared" si="71"/>
        <v>100.18979788269172</v>
      </c>
      <c r="V140" s="53">
        <f t="shared" si="71"/>
        <v>100.47104888335332</v>
      </c>
      <c r="W140" s="53">
        <f t="shared" si="71"/>
        <v>100.77877625149891</v>
      </c>
      <c r="X140" s="150">
        <f t="shared" si="71"/>
        <v>101.21448461454982</v>
      </c>
    </row>
    <row r="141" spans="2:24" s="54" customFormat="1" ht="15" customHeight="1" x14ac:dyDescent="0.25">
      <c r="B141" s="333" t="s">
        <v>345</v>
      </c>
      <c r="C141" s="292" t="s">
        <v>252</v>
      </c>
      <c r="N141" s="204"/>
      <c r="O141" s="435"/>
      <c r="P141" s="53">
        <f>P114-P87</f>
        <v>2030.7461103226315</v>
      </c>
      <c r="Q141" s="53">
        <f t="shared" ref="Q141:X141" si="72">Q114-Q87</f>
        <v>2009.3822868801217</v>
      </c>
      <c r="R141" s="53">
        <f t="shared" si="72"/>
        <v>2005.065977606766</v>
      </c>
      <c r="S141" s="53">
        <f t="shared" si="72"/>
        <v>2005.8417736846304</v>
      </c>
      <c r="T141" s="53">
        <f t="shared" si="72"/>
        <v>2025.6547975534622</v>
      </c>
      <c r="U141" s="53">
        <f t="shared" si="72"/>
        <v>2036.2149495286494</v>
      </c>
      <c r="V141" s="53">
        <f t="shared" si="72"/>
        <v>2047.3211672612606</v>
      </c>
      <c r="W141" s="53">
        <f t="shared" si="72"/>
        <v>2059.0249377200571</v>
      </c>
      <c r="X141" s="150">
        <f t="shared" si="72"/>
        <v>2073.3738797974611</v>
      </c>
    </row>
    <row r="142" spans="2:24" s="54" customFormat="1" ht="15" customHeight="1" x14ac:dyDescent="0.25">
      <c r="B142" s="333" t="s">
        <v>344</v>
      </c>
      <c r="C142" s="292" t="s">
        <v>252</v>
      </c>
      <c r="N142" s="204"/>
      <c r="O142" s="435"/>
      <c r="P142" s="53">
        <f ca="1">P115-P88</f>
        <v>-465.54533885000274</v>
      </c>
      <c r="Q142" s="53">
        <f t="shared" ref="Q142:X142" ca="1" si="73">Q115-Q88</f>
        <v>-1126.2455592919141</v>
      </c>
      <c r="R142" s="53">
        <f t="shared" ca="1" si="73"/>
        <v>-1514.1514175222255</v>
      </c>
      <c r="S142" s="53">
        <f t="shared" ca="1" si="73"/>
        <v>-1736.0179584147409</v>
      </c>
      <c r="T142" s="53">
        <f t="shared" ca="1" si="73"/>
        <v>-1881.4755538762547</v>
      </c>
      <c r="U142" s="53">
        <f t="shared" ca="1" si="73"/>
        <v>-1955.3907195883803</v>
      </c>
      <c r="V142" s="53">
        <f t="shared" ca="1" si="73"/>
        <v>-2012.8957115663216</v>
      </c>
      <c r="W142" s="53">
        <f t="shared" ca="1" si="73"/>
        <v>-2042.6981039200909</v>
      </c>
      <c r="X142" s="150">
        <f t="shared" ca="1" si="73"/>
        <v>-2064.4805917800404</v>
      </c>
    </row>
    <row r="143" spans="2:24" s="54" customFormat="1" ht="15" customHeight="1" x14ac:dyDescent="0.25">
      <c r="B143" s="56" t="s">
        <v>325</v>
      </c>
      <c r="C143" s="292"/>
      <c r="N143" s="204"/>
      <c r="O143" s="435"/>
      <c r="P143" s="35"/>
      <c r="Q143" s="35"/>
      <c r="R143" s="35"/>
      <c r="S143" s="35"/>
      <c r="T143" s="35"/>
      <c r="U143" s="35"/>
      <c r="V143" s="35"/>
      <c r="W143" s="35"/>
      <c r="X143" s="24"/>
    </row>
    <row r="144" spans="2:24" s="54" customFormat="1" ht="15" customHeight="1" x14ac:dyDescent="0.25">
      <c r="B144" s="333" t="s">
        <v>340</v>
      </c>
      <c r="C144" s="292" t="s">
        <v>36</v>
      </c>
      <c r="N144" s="204"/>
      <c r="O144" s="435"/>
      <c r="P144" s="52">
        <f>P117-P90</f>
        <v>39.943900799722201</v>
      </c>
      <c r="Q144" s="52">
        <f t="shared" ref="Q144:X144" si="74">Q117-Q90</f>
        <v>42.42419711551247</v>
      </c>
      <c r="R144" s="52">
        <f t="shared" si="74"/>
        <v>45.116136883841705</v>
      </c>
      <c r="S144" s="52">
        <f t="shared" si="74"/>
        <v>47.893159046120445</v>
      </c>
      <c r="T144" s="52">
        <f t="shared" si="74"/>
        <v>50.908967834476357</v>
      </c>
      <c r="U144" s="52">
        <f t="shared" si="74"/>
        <v>53.748327889448774</v>
      </c>
      <c r="V144" s="52">
        <f t="shared" si="74"/>
        <v>56.606110663606614</v>
      </c>
      <c r="W144" s="52">
        <f t="shared" si="74"/>
        <v>59.463587854966818</v>
      </c>
      <c r="X144" s="207">
        <f t="shared" si="74"/>
        <v>62.347448314869666</v>
      </c>
    </row>
    <row r="145" spans="2:25" s="54" customFormat="1" ht="15" customHeight="1" x14ac:dyDescent="0.25">
      <c r="B145" s="333" t="s">
        <v>341</v>
      </c>
      <c r="C145" s="292" t="s">
        <v>36</v>
      </c>
      <c r="N145" s="204"/>
      <c r="O145" s="435"/>
      <c r="P145" s="52">
        <f>P118-P91</f>
        <v>14.21111393958175</v>
      </c>
      <c r="Q145" s="52">
        <f t="shared" ref="Q145:X145" si="75">Q118-Q91</f>
        <v>15.01936330728725</v>
      </c>
      <c r="R145" s="52">
        <f t="shared" si="75"/>
        <v>15.921583309698377</v>
      </c>
      <c r="S145" s="52">
        <f t="shared" si="75"/>
        <v>16.849946108804147</v>
      </c>
      <c r="T145" s="52">
        <f t="shared" si="75"/>
        <v>17.882258435860436</v>
      </c>
      <c r="U145" s="52">
        <f t="shared" si="75"/>
        <v>18.848486883883055</v>
      </c>
      <c r="V145" s="52">
        <f t="shared" si="75"/>
        <v>19.824799919299366</v>
      </c>
      <c r="W145" s="52">
        <f t="shared" si="75"/>
        <v>20.804325324314846</v>
      </c>
      <c r="X145" s="207">
        <f t="shared" si="75"/>
        <v>21.801188753976419</v>
      </c>
    </row>
    <row r="146" spans="2:25" s="54" customFormat="1" ht="15" customHeight="1" x14ac:dyDescent="0.25">
      <c r="B146" s="333" t="s">
        <v>342</v>
      </c>
      <c r="C146" s="292" t="s">
        <v>36</v>
      </c>
      <c r="N146" s="204"/>
      <c r="O146" s="435"/>
      <c r="P146" s="52">
        <f>P119-P92</f>
        <v>2.7965366483865441</v>
      </c>
      <c r="Q146" s="52">
        <f t="shared" ref="Q146:X146" si="76">Q119-Q92</f>
        <v>2.9142696964951753</v>
      </c>
      <c r="R146" s="52">
        <f t="shared" si="76"/>
        <v>3.0432249455226881</v>
      </c>
      <c r="S146" s="52">
        <f t="shared" si="76"/>
        <v>3.1745750166777977</v>
      </c>
      <c r="T146" s="52">
        <f t="shared" si="76"/>
        <v>3.3193347844860277</v>
      </c>
      <c r="U146" s="52">
        <f t="shared" si="76"/>
        <v>3.4477860412582242</v>
      </c>
      <c r="V146" s="52">
        <f t="shared" si="76"/>
        <v>3.5737441423377163</v>
      </c>
      <c r="W146" s="52">
        <f t="shared" si="76"/>
        <v>3.6958884088649739</v>
      </c>
      <c r="X146" s="207">
        <f t="shared" si="76"/>
        <v>3.816110946813108</v>
      </c>
    </row>
    <row r="147" spans="2:25" s="54" customFormat="1" ht="15" customHeight="1" x14ac:dyDescent="0.25">
      <c r="B147" s="333" t="s">
        <v>345</v>
      </c>
      <c r="C147" s="292" t="s">
        <v>36</v>
      </c>
      <c r="N147" s="204"/>
      <c r="O147" s="435"/>
      <c r="P147" s="432">
        <f>SUM(P144:P146)</f>
        <v>56.951551387690493</v>
      </c>
      <c r="Q147" s="432">
        <f t="shared" ref="Q147:W147" si="77">SUM(Q144:Q146)</f>
        <v>60.357830119294896</v>
      </c>
      <c r="R147" s="432">
        <f t="shared" si="77"/>
        <v>64.080945139062777</v>
      </c>
      <c r="S147" s="432">
        <f t="shared" si="77"/>
        <v>67.917680171602385</v>
      </c>
      <c r="T147" s="432">
        <f t="shared" si="77"/>
        <v>72.110561054822824</v>
      </c>
      <c r="U147" s="432">
        <f t="shared" si="77"/>
        <v>76.044600814590055</v>
      </c>
      <c r="V147" s="432">
        <f t="shared" si="77"/>
        <v>80.004654725243697</v>
      </c>
      <c r="W147" s="432">
        <f t="shared" si="77"/>
        <v>83.963801588146637</v>
      </c>
      <c r="X147" s="439">
        <f>SUM(X144:X146)</f>
        <v>87.964748015659197</v>
      </c>
    </row>
    <row r="148" spans="2:25" s="54" customFormat="1" ht="15" customHeight="1" x14ac:dyDescent="0.25">
      <c r="B148" s="333" t="s">
        <v>344</v>
      </c>
      <c r="C148" s="292" t="s">
        <v>36</v>
      </c>
      <c r="N148" s="204"/>
      <c r="O148" s="435"/>
      <c r="P148" s="52">
        <f ca="1">P121-P94</f>
        <v>21.392147429927718</v>
      </c>
      <c r="Q148" s="52">
        <f t="shared" ref="Q148:X148" ca="1" si="78">Q121-Q94</f>
        <v>-19.649917802016716</v>
      </c>
      <c r="R148" s="52">
        <f t="shared" ca="1" si="78"/>
        <v>-47.13212420133641</v>
      </c>
      <c r="S148" s="52">
        <f t="shared" ca="1" si="78"/>
        <v>-66.366934394522104</v>
      </c>
      <c r="T148" s="52">
        <f t="shared" ca="1" si="78"/>
        <v>-81.260307605261914</v>
      </c>
      <c r="U148" s="52">
        <f t="shared" ca="1" si="78"/>
        <v>-92.311742576363031</v>
      </c>
      <c r="V148" s="52">
        <f t="shared" ca="1" si="78"/>
        <v>-102.38906423118897</v>
      </c>
      <c r="W148" s="52">
        <f t="shared" ca="1" si="78"/>
        <v>-110.95166746084578</v>
      </c>
      <c r="X148" s="207">
        <f t="shared" ca="1" si="78"/>
        <v>-118.88060354243498</v>
      </c>
    </row>
    <row r="149" spans="2:25" s="54" customFormat="1" ht="15" customHeight="1" x14ac:dyDescent="0.25">
      <c r="B149" s="333" t="s">
        <v>362</v>
      </c>
      <c r="C149" s="292" t="s">
        <v>36</v>
      </c>
      <c r="N149" s="204"/>
      <c r="O149" s="435"/>
      <c r="P149" s="52">
        <f ca="1">P122-P95</f>
        <v>38.862844921008218</v>
      </c>
      <c r="Q149" s="52">
        <f t="shared" ref="Q149:X149" ca="1" si="79">Q122-Q95</f>
        <v>31.525034919090103</v>
      </c>
      <c r="R149" s="52">
        <f t="shared" ca="1" si="79"/>
        <v>25.404004552110564</v>
      </c>
      <c r="S149" s="52">
        <f t="shared" ca="1" si="79"/>
        <v>21.087539302185178</v>
      </c>
      <c r="T149" s="52">
        <f t="shared" ca="1" si="79"/>
        <v>15.898973545234185</v>
      </c>
      <c r="U149" s="52">
        <f t="shared" ca="1" si="79"/>
        <v>12.483448149636388</v>
      </c>
      <c r="V149" s="52">
        <f t="shared" ca="1" si="79"/>
        <v>9.9993659504689276</v>
      </c>
      <c r="W149" s="52">
        <f t="shared" ca="1" si="79"/>
        <v>8.2509192924480885</v>
      </c>
      <c r="X149" s="207">
        <f t="shared" ca="1" si="79"/>
        <v>6.7434081187238917</v>
      </c>
    </row>
    <row r="150" spans="2:25" s="54" customFormat="1" ht="15" customHeight="1" x14ac:dyDescent="0.25">
      <c r="B150" s="416" t="s">
        <v>364</v>
      </c>
      <c r="C150" s="293" t="s">
        <v>36</v>
      </c>
      <c r="D150" s="242"/>
      <c r="E150" s="242"/>
      <c r="F150" s="242"/>
      <c r="G150" s="242"/>
      <c r="H150" s="242"/>
      <c r="I150" s="242"/>
      <c r="J150" s="242"/>
      <c r="K150" s="242"/>
      <c r="L150" s="242"/>
      <c r="M150" s="242"/>
      <c r="N150" s="425"/>
      <c r="O150" s="440"/>
      <c r="P150" s="77">
        <f ca="1">SUM(P147:P149)</f>
        <v>117.20654373862644</v>
      </c>
      <c r="Q150" s="77">
        <f t="shared" ref="Q150:X150" ca="1" si="80">SUM(Q147:Q149)</f>
        <v>72.23294723636829</v>
      </c>
      <c r="R150" s="77">
        <f t="shared" ca="1" si="80"/>
        <v>42.352825489836931</v>
      </c>
      <c r="S150" s="77">
        <f t="shared" ca="1" si="80"/>
        <v>22.638285079265458</v>
      </c>
      <c r="T150" s="77">
        <f t="shared" ca="1" si="80"/>
        <v>6.7492269947950945</v>
      </c>
      <c r="U150" s="77">
        <f t="shared" ca="1" si="80"/>
        <v>-3.7836936121365881</v>
      </c>
      <c r="V150" s="77">
        <f t="shared" ca="1" si="80"/>
        <v>-12.385043555476344</v>
      </c>
      <c r="W150" s="77">
        <f t="shared" ca="1" si="80"/>
        <v>-18.736946580251058</v>
      </c>
      <c r="X150" s="208">
        <f t="shared" ca="1" si="80"/>
        <v>-24.172447408051895</v>
      </c>
    </row>
    <row r="151" spans="2:25" s="54" customFormat="1" ht="15" customHeight="1" x14ac:dyDescent="0.25">
      <c r="B151" s="333"/>
      <c r="C151" s="300"/>
      <c r="N151" s="204"/>
      <c r="O151" s="435"/>
      <c r="P151" s="57">
        <f ca="1">P150</f>
        <v>117.20654373862644</v>
      </c>
      <c r="Q151" s="57">
        <f ca="1">Q150-P150</f>
        <v>-44.973596502258147</v>
      </c>
      <c r="R151" s="57">
        <f t="shared" ref="R151:X151" ca="1" si="81">R150-Q150</f>
        <v>-29.880121746531358</v>
      </c>
      <c r="S151" s="57">
        <f t="shared" ca="1" si="81"/>
        <v>-19.714540410571473</v>
      </c>
      <c r="T151" s="57">
        <f t="shared" ca="1" si="81"/>
        <v>-15.889058084470363</v>
      </c>
      <c r="U151" s="57">
        <f t="shared" ca="1" si="81"/>
        <v>-10.532920606931683</v>
      </c>
      <c r="V151" s="57">
        <f t="shared" ca="1" si="81"/>
        <v>-8.6013499433397556</v>
      </c>
      <c r="W151" s="57">
        <f t="shared" ca="1" si="81"/>
        <v>-6.3519030247747139</v>
      </c>
      <c r="X151" s="483">
        <f t="shared" ca="1" si="81"/>
        <v>-5.435500827800837</v>
      </c>
    </row>
    <row r="152" spans="2:25" s="54" customFormat="1" ht="15" customHeight="1" x14ac:dyDescent="0.25">
      <c r="B152" s="295" t="s">
        <v>352</v>
      </c>
      <c r="C152" s="334"/>
      <c r="N152" s="204"/>
      <c r="O152" s="435"/>
      <c r="P152" s="295"/>
      <c r="Q152" s="295"/>
      <c r="R152" s="295"/>
      <c r="S152" s="295"/>
      <c r="T152" s="295"/>
      <c r="U152" s="295"/>
      <c r="V152" s="295"/>
      <c r="W152" s="295"/>
      <c r="X152" s="300"/>
    </row>
    <row r="153" spans="2:25" s="54" customFormat="1" ht="15" customHeight="1" x14ac:dyDescent="0.25">
      <c r="B153" s="56" t="s">
        <v>348</v>
      </c>
      <c r="C153" s="292" t="s">
        <v>34</v>
      </c>
      <c r="N153" s="204"/>
      <c r="O153" s="435"/>
      <c r="P153" s="295"/>
      <c r="Q153" s="295"/>
      <c r="R153" s="295"/>
      <c r="S153" s="295"/>
      <c r="T153" s="295"/>
      <c r="U153" s="295"/>
      <c r="V153" s="295"/>
      <c r="W153" s="295"/>
      <c r="X153" s="300"/>
    </row>
    <row r="154" spans="2:25" s="54" customFormat="1" ht="15" customHeight="1" x14ac:dyDescent="0.25">
      <c r="B154" s="56" t="s">
        <v>333</v>
      </c>
      <c r="C154" s="292" t="s">
        <v>34</v>
      </c>
      <c r="N154" s="204"/>
      <c r="O154" s="435"/>
      <c r="P154" s="295"/>
      <c r="Q154" s="295"/>
      <c r="R154" s="295"/>
      <c r="S154" s="295"/>
      <c r="T154" s="295"/>
      <c r="U154" s="295"/>
      <c r="V154" s="295"/>
      <c r="W154" s="295"/>
      <c r="X154" s="300"/>
    </row>
    <row r="155" spans="2:25" s="54" customFormat="1" ht="15" customHeight="1" x14ac:dyDescent="0.25">
      <c r="B155" s="333" t="s">
        <v>334</v>
      </c>
      <c r="C155" s="292" t="s">
        <v>34</v>
      </c>
      <c r="N155" s="204"/>
      <c r="O155" s="435"/>
      <c r="P155" s="295"/>
      <c r="Q155" s="295"/>
      <c r="R155" s="295"/>
      <c r="S155" s="295"/>
      <c r="T155" s="295"/>
      <c r="U155" s="295"/>
      <c r="V155" s="295"/>
      <c r="W155" s="295"/>
      <c r="X155" s="300"/>
    </row>
    <row r="156" spans="2:25" s="54" customFormat="1" ht="15" customHeight="1" x14ac:dyDescent="0.25">
      <c r="B156" s="333" t="s">
        <v>331</v>
      </c>
      <c r="C156" s="292" t="s">
        <v>34</v>
      </c>
      <c r="N156" s="204"/>
      <c r="O156" s="435"/>
      <c r="P156" s="295"/>
      <c r="Q156" s="295"/>
      <c r="R156" s="295"/>
      <c r="S156" s="295"/>
      <c r="T156" s="295"/>
      <c r="U156" s="295"/>
      <c r="V156" s="295"/>
      <c r="W156" s="295"/>
      <c r="X156" s="300"/>
    </row>
    <row r="157" spans="2:25" s="54" customFormat="1" ht="15" customHeight="1" x14ac:dyDescent="0.25">
      <c r="B157" s="333" t="s">
        <v>335</v>
      </c>
      <c r="C157" s="292" t="s">
        <v>34</v>
      </c>
      <c r="N157" s="204"/>
      <c r="O157" s="435"/>
      <c r="P157" s="295"/>
      <c r="Q157" s="295"/>
      <c r="R157" s="295"/>
      <c r="S157" s="295"/>
      <c r="T157" s="295"/>
      <c r="U157" s="295"/>
      <c r="V157" s="295"/>
      <c r="W157" s="295"/>
      <c r="X157" s="300"/>
    </row>
    <row r="158" spans="2:25" s="54" customFormat="1" ht="15" customHeight="1" x14ac:dyDescent="0.25">
      <c r="B158" s="333" t="s">
        <v>345</v>
      </c>
      <c r="C158" s="292" t="s">
        <v>34</v>
      </c>
      <c r="N158" s="204"/>
      <c r="O158" s="435"/>
      <c r="P158" s="295"/>
      <c r="Q158" s="295"/>
      <c r="R158" s="295"/>
      <c r="S158" s="295"/>
      <c r="T158" s="295"/>
      <c r="U158" s="295"/>
      <c r="V158" s="295"/>
      <c r="W158" s="295"/>
      <c r="X158" s="300"/>
    </row>
    <row r="159" spans="2:25" s="54" customFormat="1" ht="15" customHeight="1" x14ac:dyDescent="0.25">
      <c r="B159" s="56" t="s">
        <v>336</v>
      </c>
      <c r="C159" s="292" t="s">
        <v>34</v>
      </c>
      <c r="N159" s="204"/>
      <c r="O159" s="435"/>
      <c r="P159" s="295"/>
      <c r="Q159" s="295"/>
      <c r="R159" s="295"/>
      <c r="S159" s="295"/>
      <c r="T159" s="295"/>
      <c r="U159" s="295"/>
      <c r="V159" s="295"/>
      <c r="W159" s="295"/>
      <c r="X159" s="300"/>
    </row>
    <row r="160" spans="2:25" s="54" customFormat="1" ht="15" customHeight="1" x14ac:dyDescent="0.25">
      <c r="B160" s="333" t="s">
        <v>337</v>
      </c>
      <c r="C160" s="292" t="s">
        <v>34</v>
      </c>
      <c r="N160" s="204"/>
      <c r="O160" s="435"/>
      <c r="P160" s="52">
        <f>(P106/P79-1)*100</f>
        <v>5.9577475920369105</v>
      </c>
      <c r="Q160" s="52">
        <f t="shared" ref="Q160:X160" si="82">(Q106/Q79-1)*100</f>
        <v>6.0099723473580946</v>
      </c>
      <c r="R160" s="52">
        <f t="shared" si="82"/>
        <v>6.3690161521410937</v>
      </c>
      <c r="S160" s="52">
        <f t="shared" si="82"/>
        <v>6.734932226391388</v>
      </c>
      <c r="T160" s="52">
        <f t="shared" si="82"/>
        <v>7.1314483130128226</v>
      </c>
      <c r="U160" s="52">
        <f t="shared" si="82"/>
        <v>7.49320984951658</v>
      </c>
      <c r="V160" s="52">
        <f t="shared" si="82"/>
        <v>7.8510209672557396</v>
      </c>
      <c r="W160" s="52">
        <f t="shared" si="82"/>
        <v>8.2020622322953827</v>
      </c>
      <c r="X160" s="207">
        <f t="shared" si="82"/>
        <v>8.5504768109042608</v>
      </c>
      <c r="Y160" s="40"/>
    </row>
    <row r="161" spans="2:24" s="54" customFormat="1" ht="15" customHeight="1" x14ac:dyDescent="0.25">
      <c r="B161" s="333" t="s">
        <v>338</v>
      </c>
      <c r="C161" s="292" t="s">
        <v>34</v>
      </c>
      <c r="N161" s="204"/>
      <c r="O161" s="435"/>
      <c r="P161" s="52">
        <f>(P107/P80-1)*100</f>
        <v>11.995323667842349</v>
      </c>
      <c r="Q161" s="52">
        <f t="shared" ref="Q161:X161" si="83">(Q107/Q80-1)*100</f>
        <v>12.885447996813637</v>
      </c>
      <c r="R161" s="52">
        <f t="shared" si="83"/>
        <v>13.464920255648805</v>
      </c>
      <c r="S161" s="52">
        <f t="shared" si="83"/>
        <v>14.107959792136393</v>
      </c>
      <c r="T161" s="52">
        <f t="shared" si="83"/>
        <v>14.719112046256067</v>
      </c>
      <c r="U161" s="52">
        <f t="shared" si="83"/>
        <v>15.306118887549914</v>
      </c>
      <c r="V161" s="52">
        <f t="shared" si="83"/>
        <v>15.886633668843132</v>
      </c>
      <c r="W161" s="52">
        <f t="shared" si="83"/>
        <v>16.455831280064849</v>
      </c>
      <c r="X161" s="207">
        <f t="shared" si="83"/>
        <v>17.009239663024832</v>
      </c>
    </row>
    <row r="162" spans="2:24" s="54" customFormat="1" ht="15" customHeight="1" x14ac:dyDescent="0.25">
      <c r="B162" s="333" t="s">
        <v>339</v>
      </c>
      <c r="C162" s="292" t="s">
        <v>34</v>
      </c>
      <c r="N162" s="204"/>
      <c r="O162" s="435"/>
      <c r="P162" s="52">
        <f>(P108/P81-1)*100</f>
        <v>21.391252655817318</v>
      </c>
      <c r="Q162" s="52">
        <f t="shared" ref="Q162:X162" si="84">(Q108/Q81-1)*100</f>
        <v>22.565694207991083</v>
      </c>
      <c r="R162" s="52">
        <f t="shared" si="84"/>
        <v>23.857329570038701</v>
      </c>
      <c r="S162" s="52">
        <f t="shared" si="84"/>
        <v>25.200513324861838</v>
      </c>
      <c r="T162" s="52">
        <f t="shared" si="84"/>
        <v>26.685772180037493</v>
      </c>
      <c r="U162" s="52">
        <f t="shared" si="84"/>
        <v>28.076606972719741</v>
      </c>
      <c r="V162" s="52">
        <f t="shared" si="84"/>
        <v>29.483285897368596</v>
      </c>
      <c r="W162" s="52">
        <f t="shared" si="84"/>
        <v>30.895399335920871</v>
      </c>
      <c r="X162" s="207">
        <f t="shared" si="84"/>
        <v>32.329195919976449</v>
      </c>
    </row>
    <row r="163" spans="2:24" s="54" customFormat="1" ht="15" customHeight="1" x14ac:dyDescent="0.25">
      <c r="B163" s="333" t="s">
        <v>346</v>
      </c>
      <c r="C163" s="292" t="s">
        <v>34</v>
      </c>
      <c r="N163" s="204"/>
      <c r="O163" s="435"/>
      <c r="P163" s="52">
        <f>(P109/P82-1)*100</f>
        <v>8.8844192888243079</v>
      </c>
      <c r="Q163" s="52">
        <f t="shared" ref="Q163:X165" si="85">(Q109/Q82-1)*100</f>
        <v>9.1729665925608828</v>
      </c>
      <c r="R163" s="52">
        <f t="shared" si="85"/>
        <v>9.6479223840999708</v>
      </c>
      <c r="S163" s="52">
        <f t="shared" si="85"/>
        <v>10.138635672271024</v>
      </c>
      <c r="T163" s="52">
        <f t="shared" si="85"/>
        <v>10.662134458092986</v>
      </c>
      <c r="U163" s="52">
        <f t="shared" si="85"/>
        <v>11.140011264777794</v>
      </c>
      <c r="V163" s="52">
        <f t="shared" si="85"/>
        <v>11.611777161908666</v>
      </c>
      <c r="W163" s="52">
        <f t="shared" si="85"/>
        <v>12.073398760298915</v>
      </c>
      <c r="X163" s="207">
        <f t="shared" si="85"/>
        <v>12.529384251782627</v>
      </c>
    </row>
    <row r="164" spans="2:24" s="54" customFormat="1" ht="15" customHeight="1" x14ac:dyDescent="0.25">
      <c r="B164" s="56" t="s">
        <v>343</v>
      </c>
      <c r="C164" s="292" t="s">
        <v>34</v>
      </c>
      <c r="N164" s="204"/>
      <c r="O164" s="435"/>
      <c r="P164" s="52"/>
      <c r="Q164" s="52"/>
      <c r="R164" s="52"/>
      <c r="S164" s="52"/>
      <c r="T164" s="52"/>
      <c r="U164" s="52"/>
      <c r="V164" s="52"/>
      <c r="W164" s="52"/>
      <c r="X164" s="207"/>
    </row>
    <row r="165" spans="2:24" s="54" customFormat="1" ht="15" customHeight="1" x14ac:dyDescent="0.25">
      <c r="B165" s="333" t="s">
        <v>340</v>
      </c>
      <c r="C165" s="292" t="s">
        <v>34</v>
      </c>
      <c r="N165" s="204"/>
      <c r="O165" s="435"/>
      <c r="P165" s="52">
        <f>(P111/P84-1)*100</f>
        <v>27.885783784038232</v>
      </c>
      <c r="Q165" s="52">
        <f t="shared" si="85"/>
        <v>27.431068764535517</v>
      </c>
      <c r="R165" s="52">
        <f t="shared" si="85"/>
        <v>27.133226066284255</v>
      </c>
      <c r="S165" s="52">
        <f t="shared" si="85"/>
        <v>26.905507031952936</v>
      </c>
      <c r="T165" s="52">
        <f t="shared" si="85"/>
        <v>26.930874465428655</v>
      </c>
      <c r="U165" s="52">
        <f t="shared" si="85"/>
        <v>26.83165951183344</v>
      </c>
      <c r="V165" s="52">
        <f t="shared" si="85"/>
        <v>26.7390394125967</v>
      </c>
      <c r="W165" s="52">
        <f t="shared" si="85"/>
        <v>26.65379575362703</v>
      </c>
      <c r="X165" s="207">
        <f t="shared" si="85"/>
        <v>26.602017976117608</v>
      </c>
    </row>
    <row r="166" spans="2:24" s="54" customFormat="1" ht="15" customHeight="1" x14ac:dyDescent="0.25">
      <c r="B166" s="333" t="s">
        <v>341</v>
      </c>
      <c r="C166" s="292" t="s">
        <v>34</v>
      </c>
      <c r="N166" s="204"/>
      <c r="O166" s="435"/>
      <c r="P166" s="52">
        <f>(P112/P85-1)*100</f>
        <v>51.368885329917369</v>
      </c>
      <c r="Q166" s="52">
        <f t="shared" ref="Q166:X166" si="86">(Q112/Q85-1)*100</f>
        <v>51.604138018702898</v>
      </c>
      <c r="R166" s="52">
        <f t="shared" si="86"/>
        <v>50.706424204491249</v>
      </c>
      <c r="S166" s="52">
        <f t="shared" si="86"/>
        <v>50.167493961523888</v>
      </c>
      <c r="T166" s="52">
        <f t="shared" si="86"/>
        <v>49.759102386474318</v>
      </c>
      <c r="U166" s="52">
        <f t="shared" si="86"/>
        <v>49.299098746471273</v>
      </c>
      <c r="V166" s="52">
        <f t="shared" si="86"/>
        <v>48.867599911342886</v>
      </c>
      <c r="W166" s="52">
        <f t="shared" si="86"/>
        <v>48.465232879532508</v>
      </c>
      <c r="X166" s="207">
        <f t="shared" si="86"/>
        <v>48.093786516274207</v>
      </c>
    </row>
    <row r="167" spans="2:24" s="54" customFormat="1" ht="15" customHeight="1" x14ac:dyDescent="0.25">
      <c r="B167" s="333" t="s">
        <v>342</v>
      </c>
      <c r="C167" s="292" t="s">
        <v>34</v>
      </c>
      <c r="N167" s="204"/>
      <c r="O167" s="435"/>
      <c r="P167" s="52">
        <f>(P113/P86-1)*100</f>
        <v>91.319746620630823</v>
      </c>
      <c r="Q167" s="52">
        <f t="shared" ref="Q167:X167" si="87">(Q113/Q86-1)*100</f>
        <v>91.222053528764491</v>
      </c>
      <c r="R167" s="52">
        <f t="shared" si="87"/>
        <v>91.909328595009157</v>
      </c>
      <c r="S167" s="52">
        <f t="shared" si="87"/>
        <v>92.85292165657512</v>
      </c>
      <c r="T167" s="52">
        <f t="shared" si="87"/>
        <v>94.720518582649845</v>
      </c>
      <c r="U167" s="52">
        <f t="shared" si="87"/>
        <v>96.191001285860267</v>
      </c>
      <c r="V167" s="52">
        <f t="shared" si="87"/>
        <v>97.723720487943581</v>
      </c>
      <c r="W167" s="52">
        <f t="shared" si="87"/>
        <v>99.323193073048671</v>
      </c>
      <c r="X167" s="207">
        <f t="shared" si="87"/>
        <v>101.09349425109464</v>
      </c>
    </row>
    <row r="168" spans="2:24" s="54" customFormat="1" ht="15" customHeight="1" x14ac:dyDescent="0.25">
      <c r="B168" s="333" t="s">
        <v>345</v>
      </c>
      <c r="C168" s="292" t="s">
        <v>34</v>
      </c>
      <c r="N168" s="204"/>
      <c r="O168" s="435"/>
      <c r="P168" s="52">
        <f>(P114/P87-1)*100</f>
        <v>32.760660021045027</v>
      </c>
      <c r="Q168" s="52">
        <f t="shared" ref="Q168:X168" si="88">(Q114/Q87-1)*100</f>
        <v>32.333787703647189</v>
      </c>
      <c r="R168" s="52">
        <f t="shared" si="88"/>
        <v>31.951599422393716</v>
      </c>
      <c r="S168" s="52">
        <f t="shared" si="88"/>
        <v>31.674229353008563</v>
      </c>
      <c r="T168" s="52">
        <f t="shared" si="88"/>
        <v>31.661109184528669</v>
      </c>
      <c r="U168" s="52">
        <f t="shared" si="88"/>
        <v>31.518770411839682</v>
      </c>
      <c r="V168" s="52">
        <f t="shared" si="88"/>
        <v>31.385537418833319</v>
      </c>
      <c r="W168" s="52">
        <f t="shared" si="88"/>
        <v>31.262265440734382</v>
      </c>
      <c r="X168" s="207">
        <f t="shared" si="88"/>
        <v>31.174953256850003</v>
      </c>
    </row>
    <row r="169" spans="2:24" s="54" customFormat="1" ht="15" customHeight="1" x14ac:dyDescent="0.25">
      <c r="B169" s="333" t="s">
        <v>344</v>
      </c>
      <c r="C169" s="292" t="s">
        <v>34</v>
      </c>
      <c r="N169" s="204"/>
      <c r="O169" s="435"/>
      <c r="P169" s="52"/>
      <c r="Q169" s="52"/>
      <c r="R169" s="52"/>
      <c r="S169" s="52"/>
      <c r="T169" s="52"/>
      <c r="U169" s="52"/>
      <c r="V169" s="52"/>
      <c r="W169" s="52"/>
      <c r="X169" s="207"/>
    </row>
    <row r="170" spans="2:24" s="54" customFormat="1" ht="15" customHeight="1" x14ac:dyDescent="0.25">
      <c r="B170" s="56" t="s">
        <v>325</v>
      </c>
      <c r="C170" s="292" t="s">
        <v>34</v>
      </c>
      <c r="N170" s="204"/>
      <c r="O170" s="435"/>
      <c r="P170" s="57"/>
      <c r="Q170" s="57"/>
      <c r="R170" s="57"/>
      <c r="S170" s="57"/>
      <c r="T170" s="57"/>
      <c r="U170" s="57"/>
      <c r="V170" s="57"/>
      <c r="W170" s="57"/>
      <c r="X170" s="483"/>
    </row>
    <row r="171" spans="2:24" s="54" customFormat="1" ht="15" customHeight="1" x14ac:dyDescent="0.25">
      <c r="B171" s="333" t="s">
        <v>340</v>
      </c>
      <c r="C171" s="292" t="s">
        <v>34</v>
      </c>
      <c r="N171" s="204"/>
      <c r="O171" s="435"/>
      <c r="P171" s="52">
        <f>(P117/P90-1)*100</f>
        <v>6.5260567591989282</v>
      </c>
      <c r="Q171" s="52">
        <f t="shared" ref="Q171:X171" si="89">(Q117/Q90-1)*100</f>
        <v>6.8866819975262006</v>
      </c>
      <c r="R171" s="52">
        <f t="shared" si="89"/>
        <v>7.2556288248717404</v>
      </c>
      <c r="S171" s="52">
        <f t="shared" si="89"/>
        <v>7.6303369451011793</v>
      </c>
      <c r="T171" s="52">
        <f t="shared" si="89"/>
        <v>8.0348856047038666</v>
      </c>
      <c r="U171" s="52">
        <f t="shared" si="89"/>
        <v>8.4034951933228861</v>
      </c>
      <c r="V171" s="52">
        <f t="shared" si="89"/>
        <v>8.7673332600407772</v>
      </c>
      <c r="W171" s="52">
        <f t="shared" si="89"/>
        <v>9.1236456037466098</v>
      </c>
      <c r="X171" s="207">
        <f t="shared" si="89"/>
        <v>9.4766870884899888</v>
      </c>
    </row>
    <row r="172" spans="2:24" s="54" customFormat="1" ht="15" customHeight="1" x14ac:dyDescent="0.25">
      <c r="B172" s="333" t="s">
        <v>341</v>
      </c>
      <c r="C172" s="292" t="s">
        <v>34</v>
      </c>
      <c r="N172" s="204"/>
      <c r="O172" s="435"/>
      <c r="P172" s="52">
        <f>(P118/P91-1)*100</f>
        <v>11.995323667842372</v>
      </c>
      <c r="Q172" s="52">
        <f t="shared" ref="Q172:X172" si="90">(Q118/Q91-1)*100</f>
        <v>12.88544799681366</v>
      </c>
      <c r="R172" s="52">
        <f t="shared" si="90"/>
        <v>13.464920255648805</v>
      </c>
      <c r="S172" s="52">
        <f t="shared" si="90"/>
        <v>14.107959792136393</v>
      </c>
      <c r="T172" s="52">
        <f t="shared" si="90"/>
        <v>14.719112046256067</v>
      </c>
      <c r="U172" s="52">
        <f t="shared" si="90"/>
        <v>15.306118887549914</v>
      </c>
      <c r="V172" s="52">
        <f t="shared" si="90"/>
        <v>15.886633668843153</v>
      </c>
      <c r="W172" s="52">
        <f t="shared" si="90"/>
        <v>16.455831280064849</v>
      </c>
      <c r="X172" s="207">
        <f t="shared" si="90"/>
        <v>17.009239663024832</v>
      </c>
    </row>
    <row r="173" spans="2:24" s="54" customFormat="1" ht="15" customHeight="1" x14ac:dyDescent="0.25">
      <c r="B173" s="333" t="s">
        <v>342</v>
      </c>
      <c r="C173" s="292" t="s">
        <v>34</v>
      </c>
      <c r="N173" s="204"/>
      <c r="O173" s="435"/>
      <c r="P173" s="52">
        <f>(P119/P92-1)*100</f>
        <v>21.391252655817318</v>
      </c>
      <c r="Q173" s="52">
        <f t="shared" ref="P173:X177" si="91">(Q119/Q92-1)*100</f>
        <v>22.565694207991104</v>
      </c>
      <c r="R173" s="52">
        <f t="shared" si="91"/>
        <v>23.857329570038701</v>
      </c>
      <c r="S173" s="52">
        <f t="shared" si="91"/>
        <v>25.200513324861863</v>
      </c>
      <c r="T173" s="52">
        <f t="shared" si="91"/>
        <v>26.685772180037514</v>
      </c>
      <c r="U173" s="52">
        <f t="shared" si="91"/>
        <v>28.076606972719741</v>
      </c>
      <c r="V173" s="52">
        <f t="shared" si="91"/>
        <v>29.483285897368596</v>
      </c>
      <c r="W173" s="52">
        <f t="shared" si="91"/>
        <v>30.895399335920892</v>
      </c>
      <c r="X173" s="207">
        <f t="shared" si="91"/>
        <v>32.329195919976449</v>
      </c>
    </row>
    <row r="174" spans="2:24" s="54" customFormat="1" ht="15" customHeight="1" x14ac:dyDescent="0.25">
      <c r="B174" s="333" t="s">
        <v>345</v>
      </c>
      <c r="C174" s="292" t="s">
        <v>34</v>
      </c>
      <c r="N174" s="204"/>
      <c r="O174" s="435"/>
      <c r="P174" s="52">
        <f>(P120/P93-1)*100</f>
        <v>7.6587588693280528</v>
      </c>
      <c r="Q174" s="52">
        <f t="shared" si="91"/>
        <v>8.0962044462680627</v>
      </c>
      <c r="R174" s="52">
        <f t="shared" si="91"/>
        <v>8.5122377717547835</v>
      </c>
      <c r="S174" s="52">
        <f t="shared" si="91"/>
        <v>8.9400577770021528</v>
      </c>
      <c r="T174" s="52">
        <f t="shared" si="91"/>
        <v>9.395172313470578</v>
      </c>
      <c r="U174" s="52">
        <f t="shared" si="91"/>
        <v>9.8119746793564602</v>
      </c>
      <c r="V174" s="52">
        <f t="shared" si="91"/>
        <v>10.223473742981737</v>
      </c>
      <c r="W174" s="52">
        <f t="shared" si="91"/>
        <v>10.626441751204752</v>
      </c>
      <c r="X174" s="207">
        <f t="shared" si="91"/>
        <v>11.024809831461347</v>
      </c>
    </row>
    <row r="175" spans="2:24" s="54" customFormat="1" ht="15" customHeight="1" x14ac:dyDescent="0.25">
      <c r="B175" s="333" t="s">
        <v>344</v>
      </c>
      <c r="C175" s="292" t="s">
        <v>34</v>
      </c>
      <c r="N175" s="204"/>
      <c r="O175" s="435"/>
      <c r="P175" s="311">
        <f ca="1">(P121/P94-1)*100</f>
        <v>4.642619793537861E-3</v>
      </c>
      <c r="Q175" s="311">
        <f t="shared" ca="1" si="91"/>
        <v>-4.1620838507561153E-3</v>
      </c>
      <c r="R175" s="311">
        <f t="shared" ca="1" si="91"/>
        <v>-9.7401097776672607E-3</v>
      </c>
      <c r="S175" s="311">
        <f t="shared" ca="1" si="91"/>
        <v>-1.3364537267601673E-2</v>
      </c>
      <c r="T175" s="311">
        <f t="shared" ca="1" si="91"/>
        <v>-1.595491112337255E-2</v>
      </c>
      <c r="U175" s="311">
        <f t="shared" ca="1" si="91"/>
        <v>-1.7668874294018977E-2</v>
      </c>
      <c r="V175" s="311">
        <f t="shared" ca="1" si="91"/>
        <v>-1.9087262489680956E-2</v>
      </c>
      <c r="W175" s="311">
        <f t="shared" ca="1" si="91"/>
        <v>-2.0140388182787738E-2</v>
      </c>
      <c r="X175" s="26">
        <f t="shared" ca="1" si="91"/>
        <v>-2.1016324440159551E-2</v>
      </c>
    </row>
    <row r="176" spans="2:24" s="54" customFormat="1" ht="15" customHeight="1" x14ac:dyDescent="0.25">
      <c r="B176" s="333" t="s">
        <v>362</v>
      </c>
      <c r="C176" s="292" t="s">
        <v>34</v>
      </c>
      <c r="N176" s="204"/>
      <c r="O176" s="435"/>
      <c r="P176" s="52">
        <f t="shared" ca="1" si="91"/>
        <v>0.11839709806744647</v>
      </c>
      <c r="Q176" s="52">
        <f t="shared" ca="1" si="91"/>
        <v>9.5998604954194988E-2</v>
      </c>
      <c r="R176" s="52">
        <f t="shared" ca="1" si="91"/>
        <v>7.7416487840586967E-2</v>
      </c>
      <c r="S176" s="52">
        <f t="shared" ca="1" si="91"/>
        <v>6.4308289369563454E-2</v>
      </c>
      <c r="T176" s="52">
        <f t="shared" ca="1" si="91"/>
        <v>4.8402296920824206E-2</v>
      </c>
      <c r="U176" s="52">
        <f t="shared" ca="1" si="91"/>
        <v>3.8058401598295433E-2</v>
      </c>
      <c r="V176" s="52">
        <f t="shared" ca="1" si="91"/>
        <v>3.0619243602569846E-2</v>
      </c>
      <c r="W176" s="52">
        <f t="shared" ca="1" si="91"/>
        <v>2.537561680528988E-2</v>
      </c>
      <c r="X176" s="207">
        <f t="shared" ca="1" si="91"/>
        <v>2.0816768531228824E-2</v>
      </c>
    </row>
    <row r="177" spans="2:24" s="54" customFormat="1" ht="15" customHeight="1" x14ac:dyDescent="0.25">
      <c r="B177" s="416" t="s">
        <v>364</v>
      </c>
      <c r="C177" s="293" t="s">
        <v>34</v>
      </c>
      <c r="D177" s="242"/>
      <c r="E177" s="242"/>
      <c r="F177" s="242"/>
      <c r="G177" s="242"/>
      <c r="H177" s="242"/>
      <c r="I177" s="242"/>
      <c r="J177" s="242"/>
      <c r="K177" s="242"/>
      <c r="L177" s="242"/>
      <c r="M177" s="242"/>
      <c r="N177" s="425"/>
      <c r="O177" s="440"/>
      <c r="P177" s="489">
        <f ca="1">(P123/P96-1)*100</f>
        <v>2.3709449974962382E-2</v>
      </c>
      <c r="Q177" s="489">
        <f t="shared" ca="1" si="91"/>
        <v>1.4283702090156503E-2</v>
      </c>
      <c r="R177" s="489">
        <f t="shared" ca="1" si="91"/>
        <v>8.1846777526539682E-3</v>
      </c>
      <c r="S177" s="489">
        <f t="shared" ca="1" si="91"/>
        <v>4.2702395817606487E-3</v>
      </c>
      <c r="T177" s="489">
        <f t="shared" ca="1" si="91"/>
        <v>1.2431180459460123E-3</v>
      </c>
      <c r="U177" s="489">
        <f t="shared" ca="1" si="91"/>
        <v>-6.8048396379971621E-4</v>
      </c>
      <c r="V177" s="489">
        <f t="shared" ca="1" si="91"/>
        <v>-2.1733262617895655E-3</v>
      </c>
      <c r="W177" s="489">
        <f t="shared" ca="1" si="91"/>
        <v>-3.2073010337696495E-3</v>
      </c>
      <c r="X177" s="507">
        <f t="shared" ca="1" si="91"/>
        <v>-4.0364751819677025E-3</v>
      </c>
    </row>
    <row r="178" spans="2:24" x14ac:dyDescent="0.25">
      <c r="B178" s="35" t="s">
        <v>551</v>
      </c>
      <c r="P178" s="590">
        <f ca="1">P177</f>
        <v>2.3709449974962382E-2</v>
      </c>
      <c r="Q178" s="590">
        <f ca="1">Q177-P177</f>
        <v>-9.4257478848058796E-3</v>
      </c>
      <c r="R178" s="590">
        <f t="shared" ref="R178:X178" ca="1" si="92">R177-Q177</f>
        <v>-6.0990243375025344E-3</v>
      </c>
      <c r="S178" s="590">
        <f t="shared" ca="1" si="92"/>
        <v>-3.9144381708933196E-3</v>
      </c>
      <c r="T178" s="590">
        <f t="shared" ca="1" si="92"/>
        <v>-3.0271215358146364E-3</v>
      </c>
      <c r="U178" s="590">
        <f t="shared" ca="1" si="92"/>
        <v>-1.9236020097457285E-3</v>
      </c>
      <c r="V178" s="590">
        <f t="shared" ca="1" si="92"/>
        <v>-1.4928422979898492E-3</v>
      </c>
      <c r="W178" s="590">
        <f t="shared" ca="1" si="92"/>
        <v>-1.033974771980084E-3</v>
      </c>
      <c r="X178" s="590">
        <f t="shared" ca="1" si="92"/>
        <v>-8.2917414819805302E-4</v>
      </c>
    </row>
  </sheetData>
  <pageMargins left="0.7" right="0.7" top="0.75" bottom="0.75" header="0.3" footer="0.3"/>
  <pageSetup paperSize="9" orientation="portrait" r:id="rId1"/>
  <ignoredErrors>
    <ignoredError sqref="Q147:X147" formula="1"/>
  </ignoredError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7:X304"/>
  <sheetViews>
    <sheetView tabSelected="1" topLeftCell="O1" workbookViewId="0">
      <selection activeCell="B27" sqref="B27"/>
    </sheetView>
  </sheetViews>
  <sheetFormatPr defaultRowHeight="15" x14ac:dyDescent="0.25"/>
  <cols>
    <col min="1" max="1" width="3" style="2" customWidth="1"/>
    <col min="2" max="16384" width="9.140625" style="2"/>
  </cols>
  <sheetData>
    <row r="7" spans="2:24" ht="20.25" x14ac:dyDescent="0.3">
      <c r="B7" s="1" t="str">
        <f>Index!B7</f>
        <v>Economic effects of fiscal support for the NSW GREYHOUND racing industry: DRAFT</v>
      </c>
      <c r="C7" s="1"/>
    </row>
    <row r="8" spans="2:24" ht="21" customHeight="1" x14ac:dyDescent="0.25">
      <c r="B8" s="3" t="s">
        <v>566</v>
      </c>
    </row>
    <row r="9" spans="2:24" ht="18" x14ac:dyDescent="0.25">
      <c r="C9" s="3"/>
    </row>
    <row r="10" spans="2:24" x14ac:dyDescent="0.25">
      <c r="M10" s="7"/>
      <c r="N10" s="7"/>
      <c r="O10" s="7"/>
      <c r="P10" s="7"/>
      <c r="Q10" s="7"/>
      <c r="R10" s="7"/>
      <c r="S10" s="7"/>
      <c r="T10" s="7"/>
      <c r="U10" s="7"/>
      <c r="V10" s="7"/>
      <c r="W10" s="7"/>
      <c r="X10" s="7"/>
    </row>
    <row r="47" spans="2:23" ht="39" customHeight="1" x14ac:dyDescent="0.7">
      <c r="B47" s="677" t="s">
        <v>567</v>
      </c>
      <c r="C47" s="677"/>
      <c r="D47" s="677"/>
      <c r="E47" s="677"/>
      <c r="F47" s="677"/>
      <c r="G47" s="677"/>
      <c r="H47" s="677"/>
      <c r="I47" s="677"/>
      <c r="J47" s="677"/>
      <c r="K47" s="677"/>
      <c r="L47" s="677"/>
      <c r="M47" s="677"/>
      <c r="N47" s="677"/>
      <c r="O47" s="677"/>
      <c r="P47" s="677"/>
      <c r="Q47" s="677"/>
      <c r="R47" s="677"/>
      <c r="S47" s="677"/>
      <c r="T47" s="677"/>
      <c r="U47" s="677"/>
      <c r="V47" s="677"/>
      <c r="W47" s="677"/>
    </row>
    <row r="164" spans="2:23" ht="39" customHeight="1" x14ac:dyDescent="0.7">
      <c r="B164" s="677" t="s">
        <v>568</v>
      </c>
      <c r="C164" s="677"/>
      <c r="D164" s="677"/>
      <c r="E164" s="677"/>
      <c r="F164" s="677"/>
      <c r="G164" s="677"/>
      <c r="H164" s="677"/>
      <c r="I164" s="677"/>
      <c r="J164" s="677"/>
      <c r="K164" s="677"/>
      <c r="L164" s="677"/>
      <c r="M164" s="677"/>
      <c r="N164" s="677"/>
      <c r="O164" s="677"/>
      <c r="P164" s="677"/>
      <c r="Q164" s="677"/>
      <c r="R164" s="677"/>
      <c r="S164" s="677"/>
      <c r="T164" s="677"/>
      <c r="U164" s="677"/>
      <c r="V164" s="677"/>
      <c r="W164" s="677"/>
    </row>
    <row r="251" spans="2:23" ht="39" customHeight="1" x14ac:dyDescent="0.7">
      <c r="B251" s="677" t="s">
        <v>569</v>
      </c>
      <c r="C251" s="677"/>
      <c r="D251" s="677"/>
      <c r="E251" s="677"/>
      <c r="F251" s="677"/>
      <c r="G251" s="677"/>
      <c r="H251" s="677"/>
      <c r="I251" s="677"/>
      <c r="J251" s="677"/>
      <c r="K251" s="677"/>
      <c r="L251" s="677"/>
      <c r="M251" s="677"/>
      <c r="N251" s="677"/>
      <c r="O251" s="677"/>
      <c r="P251" s="677"/>
      <c r="Q251" s="677"/>
      <c r="R251" s="677"/>
      <c r="S251" s="677"/>
      <c r="T251" s="677"/>
      <c r="U251" s="677"/>
      <c r="V251" s="677"/>
      <c r="W251" s="677"/>
    </row>
    <row r="304" spans="2:23" ht="39" customHeight="1" x14ac:dyDescent="0.7">
      <c r="B304" s="677" t="s">
        <v>570</v>
      </c>
      <c r="C304" s="677"/>
      <c r="D304" s="677"/>
      <c r="E304" s="677"/>
      <c r="F304" s="677"/>
      <c r="G304" s="677"/>
      <c r="H304" s="677"/>
      <c r="I304" s="677"/>
      <c r="J304" s="677"/>
      <c r="K304" s="677"/>
      <c r="L304" s="677"/>
      <c r="M304" s="677"/>
      <c r="N304" s="677"/>
      <c r="O304" s="677"/>
      <c r="P304" s="677"/>
      <c r="Q304" s="677"/>
      <c r="R304" s="677"/>
      <c r="S304" s="677"/>
      <c r="T304" s="677"/>
      <c r="U304" s="677"/>
      <c r="V304" s="677"/>
      <c r="W304" s="677"/>
    </row>
  </sheetData>
  <mergeCells count="4">
    <mergeCell ref="B47:W47"/>
    <mergeCell ref="B164:W164"/>
    <mergeCell ref="B251:W251"/>
    <mergeCell ref="B304:W30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AZ439"/>
  <sheetViews>
    <sheetView topLeftCell="A8" workbookViewId="0">
      <selection activeCell="B8" sqref="B8"/>
    </sheetView>
  </sheetViews>
  <sheetFormatPr defaultRowHeight="15" x14ac:dyDescent="0.25"/>
  <cols>
    <col min="1" max="1" width="9" style="2" customWidth="1"/>
    <col min="2" max="2" width="59.5703125" style="2" customWidth="1"/>
    <col min="3" max="3" width="11.5703125" style="2" customWidth="1"/>
    <col min="4" max="4" width="27.42578125" style="2" customWidth="1"/>
    <col min="5" max="5" width="8.7109375" style="2" customWidth="1"/>
    <col min="6" max="6" width="35.5703125" style="2" customWidth="1"/>
    <col min="7" max="8" width="8.7109375" style="2" customWidth="1"/>
    <col min="9" max="9" width="11.140625" style="2" customWidth="1"/>
    <col min="10" max="11" width="8.7109375" style="2" customWidth="1"/>
    <col min="12" max="16384" width="9.140625" style="2"/>
  </cols>
  <sheetData>
    <row r="7" spans="1:22" ht="20.25" x14ac:dyDescent="0.3">
      <c r="B7" s="1" t="str">
        <f>Index!B7</f>
        <v>Economic effects of fiscal support for the NSW GREYHOUND racing industry: DRAFT</v>
      </c>
      <c r="C7" s="1"/>
      <c r="D7" s="1"/>
      <c r="E7" s="1"/>
      <c r="F7" s="1"/>
      <c r="G7" s="1"/>
      <c r="H7" s="1"/>
      <c r="I7" s="1"/>
      <c r="J7" s="1"/>
      <c r="K7" s="1"/>
    </row>
    <row r="8" spans="1:22" ht="27.75" customHeight="1" x14ac:dyDescent="0.25">
      <c r="B8" s="3" t="s">
        <v>37</v>
      </c>
    </row>
    <row r="9" spans="1:22" ht="18" x14ac:dyDescent="0.25">
      <c r="C9" s="3"/>
      <c r="D9" s="3"/>
      <c r="E9" s="3"/>
      <c r="F9" s="3"/>
      <c r="G9" s="3"/>
      <c r="H9" s="3"/>
      <c r="I9" s="3"/>
      <c r="J9" s="3"/>
      <c r="K9" s="3"/>
    </row>
    <row r="11" spans="1:22" s="7" customFormat="1" x14ac:dyDescent="0.25">
      <c r="B11" s="64" t="s">
        <v>38</v>
      </c>
      <c r="C11" s="54"/>
      <c r="D11" s="54"/>
      <c r="E11" s="54"/>
      <c r="F11" s="54"/>
      <c r="G11" s="54"/>
      <c r="H11" s="54"/>
      <c r="I11" s="54"/>
      <c r="J11" s="54"/>
      <c r="K11" s="54"/>
    </row>
    <row r="12" spans="1:22" s="7" customFormat="1" x14ac:dyDescent="0.25">
      <c r="B12" s="64" t="s">
        <v>39</v>
      </c>
      <c r="C12" s="56"/>
      <c r="D12" s="56"/>
      <c r="E12" s="56"/>
      <c r="F12" s="56"/>
      <c r="G12" s="56"/>
      <c r="H12" s="56"/>
      <c r="I12" s="56"/>
      <c r="J12" s="56"/>
      <c r="K12" s="56"/>
      <c r="L12" s="56"/>
      <c r="M12" s="56"/>
      <c r="N12" s="56"/>
      <c r="O12" s="56"/>
      <c r="P12" s="56"/>
      <c r="Q12" s="56"/>
      <c r="R12" s="56"/>
      <c r="S12" s="56"/>
      <c r="T12" s="56"/>
      <c r="U12" s="56"/>
      <c r="V12" s="56"/>
    </row>
    <row r="13" spans="1:22" s="7" customFormat="1" x14ac:dyDescent="0.25">
      <c r="B13" s="64" t="s">
        <v>40</v>
      </c>
      <c r="C13" s="53"/>
      <c r="D13" s="53"/>
      <c r="E13" s="53"/>
      <c r="F13" s="53"/>
      <c r="G13" s="53"/>
      <c r="H13" s="53"/>
      <c r="I13" s="53"/>
      <c r="J13" s="53"/>
      <c r="K13" s="53"/>
      <c r="L13" s="53"/>
      <c r="M13" s="53"/>
      <c r="N13" s="53"/>
      <c r="O13" s="53"/>
      <c r="P13" s="53"/>
      <c r="Q13" s="53"/>
      <c r="R13" s="53"/>
      <c r="S13" s="53"/>
      <c r="T13" s="53"/>
      <c r="U13" s="53"/>
      <c r="V13" s="53"/>
    </row>
    <row r="14" spans="1:22" s="64" customFormat="1" x14ac:dyDescent="0.25">
      <c r="B14" s="70" t="s">
        <v>45</v>
      </c>
      <c r="C14" s="71"/>
      <c r="D14" s="71"/>
      <c r="E14" s="71"/>
      <c r="F14" s="71"/>
      <c r="G14" s="71"/>
      <c r="H14" s="71"/>
      <c r="I14" s="71"/>
      <c r="J14" s="71"/>
      <c r="K14" s="71"/>
      <c r="L14" s="71"/>
      <c r="M14" s="71"/>
      <c r="N14" s="71"/>
      <c r="O14" s="71"/>
      <c r="P14" s="71"/>
      <c r="Q14" s="71"/>
      <c r="R14" s="71"/>
      <c r="S14" s="71"/>
      <c r="T14" s="71"/>
      <c r="U14" s="71"/>
      <c r="V14" s="71"/>
    </row>
    <row r="15" spans="1:22" s="64" customFormat="1" x14ac:dyDescent="0.25">
      <c r="A15" s="65"/>
      <c r="B15" s="72" t="s">
        <v>41</v>
      </c>
      <c r="C15" s="71"/>
      <c r="D15" s="71"/>
      <c r="E15" s="71"/>
      <c r="F15" s="71"/>
      <c r="G15" s="71"/>
      <c r="H15" s="71"/>
      <c r="I15" s="71"/>
      <c r="J15" s="71"/>
      <c r="K15" s="71"/>
      <c r="L15" s="71"/>
      <c r="M15" s="71"/>
      <c r="N15" s="71"/>
      <c r="O15" s="71"/>
      <c r="P15" s="71"/>
      <c r="Q15" s="71"/>
      <c r="R15" s="71"/>
      <c r="S15" s="71"/>
      <c r="T15" s="71"/>
      <c r="U15" s="71"/>
      <c r="V15" s="71"/>
    </row>
    <row r="16" spans="1:22" s="64" customFormat="1" x14ac:dyDescent="0.25">
      <c r="A16" s="65"/>
      <c r="B16" s="72" t="s">
        <v>42</v>
      </c>
      <c r="C16" s="71"/>
      <c r="D16" s="71"/>
      <c r="E16" s="71"/>
      <c r="F16" s="71"/>
      <c r="G16" s="71"/>
      <c r="H16" s="71"/>
      <c r="I16" s="71"/>
      <c r="J16" s="71"/>
      <c r="K16" s="71"/>
      <c r="L16" s="71"/>
      <c r="M16" s="71"/>
      <c r="N16" s="71"/>
      <c r="O16" s="71"/>
      <c r="P16" s="71"/>
      <c r="Q16" s="71"/>
      <c r="R16" s="71"/>
      <c r="S16" s="71"/>
      <c r="T16" s="71"/>
      <c r="U16" s="71"/>
      <c r="V16" s="71"/>
    </row>
    <row r="17" spans="1:22" s="64" customFormat="1" x14ac:dyDescent="0.25">
      <c r="A17" s="65"/>
      <c r="B17" s="72" t="s">
        <v>43</v>
      </c>
      <c r="C17" s="71"/>
      <c r="D17" s="71"/>
      <c r="E17" s="71"/>
      <c r="F17" s="71"/>
      <c r="G17" s="71"/>
      <c r="H17" s="71"/>
      <c r="I17" s="71"/>
      <c r="J17" s="71"/>
      <c r="K17" s="71"/>
      <c r="L17" s="71"/>
      <c r="M17" s="71"/>
      <c r="N17" s="71"/>
      <c r="O17" s="71"/>
      <c r="P17" s="71"/>
      <c r="Q17" s="71"/>
      <c r="R17" s="71"/>
      <c r="S17" s="71"/>
      <c r="T17" s="71"/>
      <c r="U17" s="71"/>
      <c r="V17" s="71"/>
    </row>
    <row r="18" spans="1:22" s="64" customFormat="1" ht="41.25" customHeight="1" x14ac:dyDescent="0.25">
      <c r="A18" s="65"/>
      <c r="B18" s="73" t="s">
        <v>49</v>
      </c>
      <c r="C18" s="71"/>
      <c r="D18" s="71"/>
      <c r="E18" s="71"/>
      <c r="F18" s="71"/>
      <c r="G18" s="71"/>
      <c r="H18" s="71"/>
      <c r="I18" s="71"/>
      <c r="J18" s="71"/>
      <c r="K18" s="71"/>
      <c r="L18" s="71"/>
      <c r="M18" s="71"/>
      <c r="N18" s="71"/>
      <c r="O18" s="71"/>
      <c r="P18" s="71"/>
      <c r="Q18" s="71"/>
      <c r="R18" s="71"/>
      <c r="S18" s="71"/>
      <c r="T18" s="71"/>
      <c r="U18" s="71"/>
      <c r="V18" s="71"/>
    </row>
    <row r="19" spans="1:22" s="64" customFormat="1" x14ac:dyDescent="0.25">
      <c r="A19" s="65"/>
      <c r="B19" s="70" t="s">
        <v>45</v>
      </c>
      <c r="C19" s="71"/>
      <c r="D19" s="71"/>
      <c r="E19" s="71"/>
      <c r="F19" s="71"/>
      <c r="G19" s="71"/>
      <c r="H19" s="71"/>
      <c r="I19" s="71"/>
      <c r="J19" s="71"/>
      <c r="K19" s="71"/>
      <c r="L19" s="71"/>
      <c r="M19" s="71"/>
      <c r="N19" s="71"/>
      <c r="O19" s="71"/>
      <c r="P19" s="71"/>
      <c r="Q19" s="71"/>
      <c r="R19" s="71"/>
      <c r="S19" s="71"/>
      <c r="T19" s="71"/>
      <c r="U19" s="71"/>
      <c r="V19" s="71"/>
    </row>
    <row r="20" spans="1:22" s="64" customFormat="1" x14ac:dyDescent="0.25">
      <c r="A20" s="71"/>
      <c r="B20" s="74" t="s">
        <v>46</v>
      </c>
      <c r="C20" s="71"/>
      <c r="D20" s="71"/>
      <c r="E20" s="71"/>
      <c r="F20" s="71"/>
      <c r="G20" s="71"/>
      <c r="H20" s="71"/>
      <c r="I20" s="71"/>
      <c r="J20" s="71"/>
      <c r="K20" s="71"/>
      <c r="L20" s="71"/>
      <c r="M20" s="71"/>
      <c r="N20" s="71"/>
      <c r="O20" s="71"/>
      <c r="P20" s="71"/>
      <c r="Q20" s="71"/>
      <c r="R20" s="71"/>
      <c r="S20" s="71"/>
      <c r="T20" s="71"/>
      <c r="U20" s="71"/>
      <c r="V20" s="71"/>
    </row>
    <row r="21" spans="1:22" s="64" customFormat="1" x14ac:dyDescent="0.25">
      <c r="A21" s="71"/>
      <c r="B21" s="74" t="s">
        <v>47</v>
      </c>
      <c r="C21" s="71"/>
      <c r="D21" s="71"/>
      <c r="E21" s="71"/>
      <c r="F21" s="71"/>
      <c r="G21" s="71"/>
      <c r="H21" s="71"/>
      <c r="I21" s="71"/>
      <c r="J21" s="71"/>
      <c r="K21" s="71"/>
      <c r="L21" s="71"/>
      <c r="M21" s="71"/>
      <c r="N21" s="71"/>
      <c r="O21" s="71"/>
      <c r="P21" s="71"/>
      <c r="Q21" s="71"/>
      <c r="R21" s="71"/>
      <c r="S21" s="71"/>
      <c r="T21" s="71"/>
      <c r="U21" s="71"/>
      <c r="V21" s="71"/>
    </row>
    <row r="22" spans="1:22" s="64" customFormat="1" x14ac:dyDescent="0.25">
      <c r="A22" s="53"/>
      <c r="B22" s="75" t="s">
        <v>48</v>
      </c>
      <c r="C22" s="71"/>
      <c r="D22" s="71"/>
      <c r="E22" s="71"/>
      <c r="F22" s="71"/>
      <c r="G22" s="71"/>
      <c r="H22" s="71"/>
      <c r="I22" s="71"/>
      <c r="J22" s="71"/>
      <c r="K22" s="71"/>
      <c r="L22" s="71"/>
      <c r="M22" s="71"/>
      <c r="N22" s="71"/>
      <c r="O22" s="71"/>
      <c r="P22" s="71"/>
      <c r="Q22" s="71"/>
      <c r="R22" s="71"/>
      <c r="S22" s="71"/>
      <c r="T22" s="71"/>
      <c r="U22" s="71"/>
      <c r="V22" s="71"/>
    </row>
    <row r="23" spans="1:22" s="64" customFormat="1" ht="39.75" customHeight="1" x14ac:dyDescent="0.25">
      <c r="A23" s="65"/>
      <c r="B23" s="73" t="s">
        <v>50</v>
      </c>
      <c r="C23" s="71"/>
      <c r="D23" s="71"/>
      <c r="E23" s="71"/>
      <c r="F23" s="71"/>
      <c r="G23" s="71"/>
      <c r="H23" s="71"/>
      <c r="I23" s="71"/>
      <c r="L23" s="71"/>
      <c r="M23" s="71"/>
      <c r="N23" s="71"/>
      <c r="O23" s="71"/>
      <c r="P23" s="71"/>
      <c r="Q23" s="71"/>
      <c r="R23" s="71"/>
      <c r="S23" s="71"/>
      <c r="T23" s="71"/>
      <c r="U23" s="71"/>
      <c r="V23" s="71"/>
    </row>
    <row r="24" spans="1:22" s="7" customFormat="1" ht="22.5" customHeight="1" x14ac:dyDescent="0.25">
      <c r="A24" s="65"/>
      <c r="B24" s="76" t="s">
        <v>44</v>
      </c>
      <c r="C24" s="53"/>
      <c r="D24" s="53"/>
      <c r="E24" s="53"/>
      <c r="F24" s="53"/>
      <c r="G24" s="53"/>
      <c r="H24" s="53"/>
      <c r="I24" s="53"/>
      <c r="L24" s="53"/>
      <c r="M24" s="53"/>
      <c r="N24" s="53"/>
      <c r="O24" s="53"/>
      <c r="P24" s="53"/>
      <c r="Q24" s="53"/>
      <c r="R24" s="53"/>
      <c r="S24" s="53"/>
      <c r="T24" s="53"/>
      <c r="U24" s="53"/>
      <c r="V24" s="53"/>
    </row>
    <row r="25" spans="1:22" s="7" customFormat="1" x14ac:dyDescent="0.25">
      <c r="A25" s="65"/>
      <c r="B25" s="66"/>
      <c r="C25" s="53"/>
      <c r="D25" s="53"/>
      <c r="E25" s="53"/>
      <c r="F25" s="53"/>
      <c r="G25" s="53"/>
      <c r="H25" s="53"/>
      <c r="I25" s="53"/>
      <c r="J25" s="53"/>
      <c r="K25" s="53"/>
      <c r="L25" s="53"/>
      <c r="M25" s="53"/>
      <c r="N25" s="53"/>
      <c r="O25" s="53"/>
      <c r="P25" s="53"/>
      <c r="Q25" s="53"/>
      <c r="R25" s="53"/>
      <c r="S25" s="53"/>
      <c r="T25" s="53"/>
      <c r="U25" s="53"/>
      <c r="V25" s="53"/>
    </row>
    <row r="26" spans="1:22" s="7" customFormat="1" x14ac:dyDescent="0.25">
      <c r="A26" s="65"/>
      <c r="O26" s="53"/>
      <c r="P26" s="53"/>
      <c r="Q26" s="53"/>
      <c r="R26" s="53"/>
      <c r="S26" s="53"/>
      <c r="T26" s="53"/>
      <c r="U26" s="53"/>
      <c r="V26" s="53"/>
    </row>
    <row r="27" spans="1:22" s="7" customFormat="1" x14ac:dyDescent="0.25">
      <c r="A27" s="65"/>
      <c r="O27" s="66"/>
      <c r="P27" s="53"/>
      <c r="Q27" s="53"/>
      <c r="R27" s="53"/>
      <c r="S27" s="53"/>
      <c r="T27" s="53"/>
      <c r="U27" s="53"/>
      <c r="V27" s="53"/>
    </row>
    <row r="28" spans="1:22" s="7" customFormat="1" x14ac:dyDescent="0.25">
      <c r="A28" s="65"/>
      <c r="O28" s="66"/>
      <c r="P28" s="53"/>
      <c r="Q28" s="53"/>
      <c r="R28" s="53"/>
      <c r="S28" s="53"/>
      <c r="T28" s="53"/>
      <c r="U28" s="53"/>
      <c r="V28" s="53"/>
    </row>
    <row r="29" spans="1:22" s="7" customFormat="1" x14ac:dyDescent="0.25">
      <c r="A29" s="65"/>
      <c r="O29" s="66"/>
      <c r="P29" s="53"/>
      <c r="Q29" s="53"/>
      <c r="R29" s="53"/>
      <c r="S29" s="53"/>
      <c r="T29" s="53"/>
      <c r="U29" s="53"/>
      <c r="V29" s="53"/>
    </row>
    <row r="30" spans="1:22" s="7" customFormat="1" x14ac:dyDescent="0.25">
      <c r="A30" s="65"/>
      <c r="C30" s="66" t="s">
        <v>125</v>
      </c>
      <c r="D30" s="53"/>
      <c r="E30" s="53"/>
      <c r="F30" s="53"/>
      <c r="G30" s="53"/>
      <c r="H30" s="53"/>
      <c r="I30" s="53"/>
      <c r="J30" s="53"/>
      <c r="K30" s="53"/>
      <c r="L30" s="53"/>
      <c r="M30" s="53"/>
      <c r="N30" s="53"/>
      <c r="O30" s="66"/>
      <c r="P30" s="53"/>
      <c r="Q30" s="53"/>
      <c r="R30" s="53"/>
      <c r="S30" s="53"/>
      <c r="T30" s="53"/>
      <c r="U30" s="53"/>
      <c r="V30" s="53"/>
    </row>
    <row r="31" spans="1:22" s="7" customFormat="1" x14ac:dyDescent="0.25">
      <c r="A31" s="65"/>
      <c r="C31" s="129" t="str">
        <f>'[10]Thoroghbred Racing Industry'!A2</f>
        <v>IOPC</v>
      </c>
      <c r="D31" s="119" t="str">
        <f>'[10]Thoroghbred Racing Industry'!B2</f>
        <v>Commodity category</v>
      </c>
      <c r="E31" s="119" t="str">
        <f>'[10]Thoroghbred Racing Industry'!C2</f>
        <v>Industry</v>
      </c>
      <c r="F31" s="119"/>
      <c r="G31" s="119" t="str">
        <f>'[10]Thoroghbred Racing Industry'!E2</f>
        <v>Commodity Supply</v>
      </c>
      <c r="H31" s="119"/>
      <c r="I31" s="119"/>
      <c r="J31" s="125" t="str">
        <f>'[10]Thoroghbred Racing Industry'!H2</f>
        <v>Industry supply</v>
      </c>
      <c r="K31" s="125"/>
      <c r="L31" s="125"/>
      <c r="M31" s="130" t="str">
        <f>'[10]Thoroghbred Racing Industry'!K2</f>
        <v>IGVA</v>
      </c>
      <c r="N31" s="66"/>
      <c r="O31" s="66"/>
      <c r="P31" s="53"/>
      <c r="Q31" s="53"/>
      <c r="R31" s="53"/>
      <c r="S31" s="53"/>
      <c r="T31" s="53"/>
      <c r="U31" s="53"/>
      <c r="V31" s="53"/>
    </row>
    <row r="32" spans="1:22" s="7" customFormat="1" x14ac:dyDescent="0.25">
      <c r="A32" s="65"/>
      <c r="B32" s="66"/>
      <c r="C32" s="131"/>
      <c r="D32" s="66" t="s">
        <v>133</v>
      </c>
      <c r="E32" s="120"/>
      <c r="F32" s="120"/>
      <c r="G32" s="119" t="str">
        <f>'[10]Thoroghbred Racing Industry'!E3</f>
        <v>domestic</v>
      </c>
      <c r="H32" s="119" t="str">
        <f>'[10]Thoroghbred Racing Industry'!F3</f>
        <v>imports</v>
      </c>
      <c r="I32" s="119" t="str">
        <f>'[10]Thoroghbred Racing Industry'!G3</f>
        <v>total</v>
      </c>
      <c r="J32" s="124" t="str">
        <f>'[10]Thoroghbred Racing Industry'!H3</f>
        <v>domestic</v>
      </c>
      <c r="K32" s="124" t="str">
        <f>'[10]Thoroghbred Racing Industry'!I3</f>
        <v>imports</v>
      </c>
      <c r="L32" s="124" t="str">
        <f>'[10]Thoroghbred Racing Industry'!J3</f>
        <v>total</v>
      </c>
      <c r="M32" s="132"/>
      <c r="N32" s="66"/>
      <c r="O32" s="53"/>
      <c r="P32" s="53"/>
      <c r="Q32" s="53"/>
      <c r="R32" s="53"/>
      <c r="S32" s="53"/>
      <c r="T32" s="53"/>
      <c r="U32" s="53"/>
      <c r="V32" s="53"/>
    </row>
    <row r="33" spans="1:22" s="7" customFormat="1" x14ac:dyDescent="0.25">
      <c r="A33" s="65"/>
      <c r="B33" s="66"/>
      <c r="C33" s="133">
        <v>1520010</v>
      </c>
      <c r="D33" s="118" t="s">
        <v>126</v>
      </c>
      <c r="E33" s="121">
        <v>107</v>
      </c>
      <c r="F33" s="121" t="s">
        <v>127</v>
      </c>
      <c r="G33" s="121">
        <v>481</v>
      </c>
      <c r="H33" s="121">
        <v>117</v>
      </c>
      <c r="I33" s="121">
        <v>598</v>
      </c>
      <c r="J33" s="126">
        <v>12094</v>
      </c>
      <c r="K33" s="126">
        <v>868</v>
      </c>
      <c r="L33" s="126">
        <v>12962</v>
      </c>
      <c r="M33" s="134">
        <v>7527</v>
      </c>
      <c r="N33" s="66"/>
      <c r="O33" s="53"/>
      <c r="P33" s="53"/>
      <c r="Q33" s="53"/>
      <c r="R33" s="53"/>
      <c r="S33" s="53"/>
      <c r="T33" s="53"/>
      <c r="U33" s="53"/>
      <c r="V33" s="53"/>
    </row>
    <row r="34" spans="1:22" s="7" customFormat="1" x14ac:dyDescent="0.25">
      <c r="A34" s="65"/>
      <c r="B34" s="66"/>
      <c r="C34" s="135">
        <v>93110010</v>
      </c>
      <c r="D34" s="67" t="s">
        <v>128</v>
      </c>
      <c r="E34" s="121">
        <v>9301</v>
      </c>
      <c r="F34" s="121" t="s">
        <v>129</v>
      </c>
      <c r="G34" s="121">
        <v>2280</v>
      </c>
      <c r="H34" s="121">
        <v>42</v>
      </c>
      <c r="I34" s="121">
        <v>2322</v>
      </c>
      <c r="J34" s="126">
        <v>16533</v>
      </c>
      <c r="K34" s="126">
        <v>490</v>
      </c>
      <c r="L34" s="126">
        <v>17023</v>
      </c>
      <c r="M34" s="134">
        <v>6649</v>
      </c>
      <c r="N34" s="66"/>
      <c r="O34" s="53"/>
      <c r="P34" s="53"/>
      <c r="Q34" s="53"/>
      <c r="R34" s="53"/>
      <c r="S34" s="53"/>
      <c r="T34" s="53"/>
      <c r="U34" s="53"/>
      <c r="V34" s="53"/>
    </row>
    <row r="35" spans="1:22" s="7" customFormat="1" ht="12" customHeight="1" x14ac:dyDescent="0.25">
      <c r="A35" s="65"/>
      <c r="B35" s="66"/>
      <c r="C35" s="135"/>
      <c r="D35" s="67"/>
      <c r="E35" s="121"/>
      <c r="F35" s="121"/>
      <c r="G35" s="128">
        <f>G34*0.748504</f>
        <v>1706.5891199999999</v>
      </c>
      <c r="H35" s="128">
        <f>H34*0.748504</f>
        <v>31.437167999999996</v>
      </c>
      <c r="I35" s="128">
        <f>I34*0.748504</f>
        <v>1738.0262879999998</v>
      </c>
      <c r="J35" s="126"/>
      <c r="K35" s="126"/>
      <c r="L35" s="126"/>
      <c r="M35" s="134"/>
      <c r="N35" s="66"/>
      <c r="O35" s="53"/>
      <c r="P35" s="53"/>
      <c r="Q35" s="53"/>
      <c r="R35" s="53"/>
      <c r="S35" s="53"/>
      <c r="T35" s="53"/>
      <c r="U35" s="53"/>
      <c r="V35" s="53"/>
    </row>
    <row r="36" spans="1:22" s="7" customFormat="1" x14ac:dyDescent="0.25">
      <c r="A36" s="65"/>
      <c r="B36" s="66"/>
      <c r="C36" s="136">
        <v>93290020</v>
      </c>
      <c r="D36" s="21" t="s">
        <v>130</v>
      </c>
      <c r="E36" s="50">
        <v>9301</v>
      </c>
      <c r="F36" s="50" t="s">
        <v>129</v>
      </c>
      <c r="G36" s="50">
        <v>1599</v>
      </c>
      <c r="H36" s="50">
        <v>64</v>
      </c>
      <c r="I36" s="50">
        <v>1663</v>
      </c>
      <c r="J36" s="127">
        <v>16533</v>
      </c>
      <c r="K36" s="127">
        <v>490</v>
      </c>
      <c r="L36" s="127">
        <v>17023</v>
      </c>
      <c r="M36" s="137">
        <v>6649</v>
      </c>
      <c r="N36" s="53"/>
      <c r="O36" s="53"/>
      <c r="P36" s="53"/>
      <c r="Q36" s="53"/>
      <c r="R36" s="53"/>
      <c r="S36" s="53"/>
      <c r="T36" s="53"/>
      <c r="U36" s="53"/>
      <c r="V36" s="53"/>
    </row>
    <row r="37" spans="1:22" s="7" customFormat="1" ht="18" customHeight="1" x14ac:dyDescent="0.25">
      <c r="A37" s="65"/>
      <c r="B37" s="68"/>
      <c r="C37" s="90"/>
      <c r="D37" s="35"/>
      <c r="E37" s="51"/>
      <c r="F37" s="51" t="s">
        <v>124</v>
      </c>
      <c r="G37" s="35">
        <f>SUM(G33,G36,(G34*0.748504))</f>
        <v>3786.5891199999996</v>
      </c>
      <c r="H37" s="45">
        <f>SUM(H35:H36,H33)</f>
        <v>212.43716799999999</v>
      </c>
      <c r="I37" s="45">
        <f>SUM(I35:I36,I33)</f>
        <v>3999.026288</v>
      </c>
      <c r="M37" s="8"/>
      <c r="N37" s="52"/>
      <c r="O37" s="52"/>
      <c r="P37" s="52"/>
      <c r="Q37" s="52"/>
      <c r="R37" s="52"/>
      <c r="S37" s="52"/>
      <c r="T37" s="52"/>
      <c r="U37" s="52"/>
      <c r="V37" s="52"/>
    </row>
    <row r="38" spans="1:22" s="7" customFormat="1" x14ac:dyDescent="0.25">
      <c r="A38" s="65"/>
      <c r="B38" s="69"/>
      <c r="C38" s="138"/>
      <c r="D38" s="56"/>
      <c r="E38" s="122"/>
      <c r="F38" s="122"/>
      <c r="G38" s="139">
        <f>G33/J33</f>
        <v>3.9771787663304116E-2</v>
      </c>
      <c r="M38" s="8">
        <f>M33*G38</f>
        <v>299.36224574169006</v>
      </c>
      <c r="N38" s="56"/>
      <c r="O38" s="56"/>
      <c r="P38" s="56"/>
      <c r="Q38" s="56"/>
      <c r="R38" s="56"/>
      <c r="S38" s="56"/>
      <c r="T38" s="56"/>
      <c r="U38" s="56"/>
      <c r="V38" s="56"/>
    </row>
    <row r="39" spans="1:22" s="7" customFormat="1" x14ac:dyDescent="0.25">
      <c r="A39" s="65"/>
      <c r="B39" s="66"/>
      <c r="C39" s="6"/>
      <c r="D39" s="35"/>
      <c r="E39" s="51"/>
      <c r="F39" s="51"/>
      <c r="G39" s="139">
        <f>SUM(G35:G36)/J36</f>
        <v>0.19993885683179094</v>
      </c>
      <c r="M39" s="8">
        <f>M36*G39</f>
        <v>1329.393459074578</v>
      </c>
      <c r="N39" s="52"/>
      <c r="O39" s="52"/>
      <c r="P39" s="52"/>
      <c r="Q39" s="52"/>
      <c r="R39" s="52"/>
      <c r="S39" s="52"/>
      <c r="T39" s="52"/>
      <c r="U39" s="52"/>
      <c r="V39" s="52"/>
    </row>
    <row r="40" spans="1:22" s="7" customFormat="1" x14ac:dyDescent="0.25">
      <c r="A40" s="65"/>
      <c r="B40" s="66"/>
      <c r="C40" s="6"/>
      <c r="D40" s="35"/>
      <c r="E40" s="51"/>
      <c r="F40" s="123" t="s">
        <v>131</v>
      </c>
      <c r="G40" s="32"/>
      <c r="H40" s="43"/>
      <c r="I40" s="43"/>
      <c r="J40" s="43"/>
      <c r="K40" s="43"/>
      <c r="L40" s="43"/>
      <c r="M40" s="44">
        <f>SUM(M38:M39)</f>
        <v>1628.755704816268</v>
      </c>
      <c r="N40" s="52"/>
      <c r="O40" s="52"/>
      <c r="P40" s="52"/>
      <c r="Q40" s="52"/>
      <c r="R40" s="52"/>
      <c r="S40" s="52"/>
      <c r="T40" s="52"/>
      <c r="U40" s="52"/>
      <c r="V40" s="52"/>
    </row>
    <row r="41" spans="1:22" s="7" customFormat="1" x14ac:dyDescent="0.25">
      <c r="A41" s="65"/>
      <c r="B41" s="66"/>
      <c r="C41" s="11"/>
      <c r="D41" s="21"/>
      <c r="E41" s="50"/>
      <c r="F41" s="123" t="s">
        <v>132</v>
      </c>
      <c r="G41" s="32"/>
      <c r="H41" s="43"/>
      <c r="I41" s="43"/>
      <c r="J41" s="43"/>
      <c r="K41" s="43"/>
      <c r="L41" s="43"/>
      <c r="M41" s="140">
        <f>M40*'Appendix C Industry details'!$C$38</f>
        <v>499.10350845515023</v>
      </c>
      <c r="N41" s="52"/>
      <c r="O41" s="52"/>
      <c r="P41" s="52"/>
      <c r="Q41" s="52"/>
      <c r="R41" s="52"/>
      <c r="S41" s="52"/>
      <c r="T41" s="52"/>
      <c r="U41" s="52"/>
      <c r="V41" s="52"/>
    </row>
    <row r="42" spans="1:22" s="7" customFormat="1" x14ac:dyDescent="0.25">
      <c r="A42" s="65"/>
      <c r="B42" s="66"/>
      <c r="D42" s="52"/>
      <c r="E42" s="52"/>
      <c r="F42" s="52"/>
      <c r="G42" s="52"/>
      <c r="H42" s="52"/>
      <c r="I42" s="52"/>
      <c r="J42" s="52"/>
      <c r="K42" s="52"/>
      <c r="L42" s="52"/>
      <c r="M42" s="52"/>
      <c r="N42" s="52"/>
      <c r="O42" s="52"/>
      <c r="P42" s="52"/>
      <c r="Q42" s="52"/>
      <c r="R42" s="52"/>
      <c r="S42" s="52"/>
      <c r="T42" s="52"/>
      <c r="U42" s="52"/>
      <c r="V42" s="52"/>
    </row>
    <row r="43" spans="1:22" s="7" customFormat="1" x14ac:dyDescent="0.25">
      <c r="A43" s="65"/>
      <c r="B43" s="66"/>
      <c r="D43" s="52"/>
      <c r="E43" s="52"/>
      <c r="F43" s="7" t="s">
        <v>206</v>
      </c>
      <c r="G43" s="35"/>
      <c r="H43" s="52"/>
      <c r="I43" s="52"/>
      <c r="J43" s="52"/>
      <c r="K43" s="52"/>
      <c r="L43" s="52"/>
      <c r="M43" s="52"/>
      <c r="N43" s="52"/>
      <c r="O43" s="52"/>
      <c r="P43" s="52"/>
      <c r="Q43" s="52"/>
      <c r="R43" s="52"/>
      <c r="S43" s="52"/>
      <c r="T43" s="52"/>
      <c r="U43" s="52"/>
      <c r="V43" s="52"/>
    </row>
    <row r="44" spans="1:22" s="7" customFormat="1" x14ac:dyDescent="0.25">
      <c r="A44" s="65"/>
      <c r="B44" s="66"/>
      <c r="D44" s="52"/>
      <c r="E44" s="52"/>
      <c r="F44" s="7" t="s">
        <v>207</v>
      </c>
      <c r="G44" s="52"/>
      <c r="H44" s="52"/>
      <c r="I44" s="52"/>
      <c r="J44" s="52"/>
      <c r="K44" s="52"/>
      <c r="L44" s="52"/>
      <c r="M44" s="213">
        <f>20/70*M41</f>
        <v>142.60100241575719</v>
      </c>
      <c r="N44" s="52"/>
      <c r="O44" s="52"/>
      <c r="P44" s="52"/>
      <c r="Q44" s="52"/>
      <c r="R44" s="52"/>
      <c r="S44" s="52"/>
      <c r="T44" s="52"/>
      <c r="U44" s="52"/>
      <c r="V44" s="52"/>
    </row>
    <row r="45" spans="1:22" s="7" customFormat="1" x14ac:dyDescent="0.25">
      <c r="A45" s="65"/>
      <c r="B45" s="66"/>
      <c r="D45" s="52"/>
      <c r="E45" s="52"/>
      <c r="F45" s="52"/>
      <c r="G45" s="52"/>
      <c r="H45" s="52"/>
      <c r="I45" s="52"/>
      <c r="J45" s="52"/>
      <c r="K45" s="52"/>
      <c r="L45" s="52"/>
      <c r="M45" s="52"/>
      <c r="N45" s="52"/>
      <c r="O45" s="52"/>
      <c r="P45" s="52"/>
      <c r="Q45" s="52"/>
      <c r="R45" s="52"/>
      <c r="S45" s="52"/>
      <c r="T45" s="52"/>
      <c r="U45" s="52"/>
      <c r="V45" s="52"/>
    </row>
    <row r="46" spans="1:22" s="7" customFormat="1" x14ac:dyDescent="0.25">
      <c r="A46" s="65"/>
      <c r="B46" s="66"/>
      <c r="D46" s="52"/>
      <c r="E46" s="52"/>
      <c r="F46" s="52"/>
      <c r="G46" s="52"/>
      <c r="H46" s="52"/>
      <c r="I46" s="52"/>
      <c r="J46" s="52"/>
      <c r="K46" s="52"/>
      <c r="L46" s="52"/>
      <c r="M46" s="52"/>
      <c r="N46" s="52"/>
      <c r="O46" s="52"/>
      <c r="P46" s="52"/>
      <c r="Q46" s="52"/>
      <c r="R46" s="52"/>
      <c r="S46" s="52"/>
      <c r="T46" s="52"/>
      <c r="U46" s="52"/>
      <c r="V46" s="52"/>
    </row>
    <row r="47" spans="1:22" s="7" customFormat="1" x14ac:dyDescent="0.25">
      <c r="A47" s="66" t="s">
        <v>261</v>
      </c>
      <c r="D47" s="52"/>
      <c r="E47" s="52"/>
      <c r="F47" s="52"/>
      <c r="G47" s="52"/>
      <c r="H47" s="52"/>
      <c r="I47" s="52"/>
      <c r="J47" s="52"/>
      <c r="K47" s="52"/>
      <c r="L47" s="52"/>
      <c r="M47" s="52"/>
      <c r="N47" s="52"/>
      <c r="O47" s="52"/>
      <c r="P47" s="52"/>
      <c r="Q47" s="52"/>
      <c r="R47" s="52"/>
      <c r="S47" s="52"/>
      <c r="T47" s="52"/>
      <c r="U47" s="52"/>
      <c r="V47" s="52"/>
    </row>
    <row r="48" spans="1:22" s="7" customFormat="1" x14ac:dyDescent="0.25">
      <c r="A48" s="67" t="s">
        <v>262</v>
      </c>
      <c r="B48" s="66"/>
      <c r="D48" s="52"/>
      <c r="E48" s="52"/>
      <c r="F48" s="52"/>
      <c r="G48" s="52"/>
      <c r="H48" s="52"/>
      <c r="I48" s="52"/>
      <c r="J48" s="52"/>
      <c r="K48" s="52"/>
      <c r="L48" s="52"/>
      <c r="M48" s="52"/>
      <c r="N48" s="52"/>
      <c r="O48" s="52"/>
      <c r="P48" s="52"/>
      <c r="Q48" s="52"/>
      <c r="R48" s="52"/>
      <c r="S48" s="52"/>
      <c r="T48" s="52"/>
      <c r="U48" s="52"/>
      <c r="V48" s="52"/>
    </row>
    <row r="49" spans="1:52" s="7" customFormat="1" x14ac:dyDescent="0.25">
      <c r="A49" s="210">
        <v>92.3</v>
      </c>
      <c r="B49" s="66" t="s">
        <v>263</v>
      </c>
      <c r="D49" s="52"/>
      <c r="E49" s="52"/>
      <c r="F49" s="52"/>
      <c r="G49" s="52"/>
      <c r="H49" s="52"/>
      <c r="I49" s="52"/>
      <c r="J49" s="52"/>
      <c r="K49" s="52"/>
      <c r="L49" s="52"/>
      <c r="M49" s="52"/>
      <c r="N49" s="52"/>
      <c r="O49" s="52"/>
      <c r="P49" s="52"/>
      <c r="Q49" s="52"/>
      <c r="R49" s="52"/>
      <c r="S49" s="52"/>
      <c r="T49" s="52"/>
      <c r="U49" s="52"/>
      <c r="V49" s="52"/>
    </row>
    <row r="50" spans="1:52" s="7" customFormat="1" x14ac:dyDescent="0.25">
      <c r="A50" s="210">
        <v>51.9</v>
      </c>
      <c r="B50" s="66" t="s">
        <v>264</v>
      </c>
      <c r="D50" s="52"/>
      <c r="E50" s="52"/>
      <c r="F50" s="52"/>
      <c r="G50" s="52"/>
      <c r="H50" s="52"/>
      <c r="I50" s="52"/>
      <c r="J50" s="52"/>
      <c r="K50" s="52"/>
      <c r="L50" s="52"/>
      <c r="M50" s="52"/>
      <c r="N50" s="52"/>
      <c r="O50" s="52"/>
      <c r="P50" s="52"/>
      <c r="Q50" s="52"/>
      <c r="R50" s="52"/>
      <c r="S50" s="52"/>
      <c r="T50" s="52"/>
      <c r="U50" s="52"/>
      <c r="V50" s="52"/>
    </row>
    <row r="51" spans="1:52" s="7" customFormat="1" x14ac:dyDescent="0.25">
      <c r="A51" s="65"/>
      <c r="B51" s="66"/>
      <c r="D51" s="52"/>
      <c r="E51" s="52"/>
      <c r="F51" s="52"/>
      <c r="G51" s="52"/>
      <c r="H51" s="52"/>
      <c r="I51" s="52"/>
      <c r="J51" s="52"/>
      <c r="K51" s="52"/>
      <c r="L51" s="52"/>
      <c r="M51" s="52"/>
      <c r="N51" s="52"/>
      <c r="O51" s="52"/>
      <c r="P51" s="52"/>
      <c r="Q51" s="52"/>
      <c r="R51" s="52"/>
      <c r="S51" s="52"/>
      <c r="T51" s="52"/>
      <c r="U51" s="52"/>
      <c r="V51" s="52"/>
    </row>
    <row r="52" spans="1:52" s="7" customFormat="1" x14ac:dyDescent="0.25">
      <c r="A52" s="65"/>
      <c r="B52" s="66"/>
      <c r="D52" s="52"/>
      <c r="E52" s="52"/>
      <c r="F52" s="52"/>
      <c r="G52" s="52"/>
      <c r="H52" s="52"/>
      <c r="I52" s="52"/>
      <c r="J52" s="52"/>
      <c r="K52" s="52"/>
      <c r="L52" s="52"/>
      <c r="M52" s="52"/>
      <c r="N52" s="52"/>
      <c r="O52" s="52"/>
      <c r="P52" s="52"/>
      <c r="Q52" s="52"/>
      <c r="R52" s="52"/>
      <c r="S52" s="52"/>
      <c r="T52" s="52"/>
      <c r="U52" s="52"/>
      <c r="V52" s="52"/>
    </row>
    <row r="53" spans="1:52" s="7" customFormat="1" x14ac:dyDescent="0.25">
      <c r="A53" s="65"/>
      <c r="B53" s="66"/>
      <c r="D53" s="52"/>
      <c r="E53" s="52"/>
      <c r="F53" s="52"/>
      <c r="G53" s="52"/>
      <c r="H53" s="52"/>
      <c r="I53" s="52"/>
      <c r="J53" s="52"/>
      <c r="K53" s="52"/>
      <c r="L53" s="52"/>
      <c r="M53" s="52"/>
      <c r="N53" s="52"/>
      <c r="O53" s="52"/>
      <c r="P53" s="52"/>
      <c r="Q53" s="52"/>
      <c r="R53" s="52"/>
      <c r="S53" s="52"/>
      <c r="T53" s="52"/>
      <c r="U53" s="52"/>
      <c r="V53" s="52"/>
    </row>
    <row r="54" spans="1:52" s="7" customFormat="1" x14ac:dyDescent="0.25">
      <c r="A54" s="65"/>
      <c r="B54" s="66"/>
      <c r="D54" s="52"/>
      <c r="E54" s="52"/>
      <c r="F54" s="52"/>
      <c r="G54" s="52"/>
      <c r="H54" s="52"/>
      <c r="I54" s="52"/>
      <c r="J54" s="52"/>
      <c r="K54" s="52"/>
      <c r="L54" s="52"/>
      <c r="M54" s="52"/>
      <c r="N54" s="52"/>
      <c r="O54" s="52"/>
      <c r="P54" s="52"/>
      <c r="Q54" s="52"/>
      <c r="R54" s="52"/>
      <c r="S54" s="52"/>
      <c r="T54" s="52"/>
      <c r="U54" s="52"/>
      <c r="V54" s="52"/>
    </row>
    <row r="55" spans="1:52" s="7" customFormat="1" x14ac:dyDescent="0.25">
      <c r="A55" s="65"/>
      <c r="B55" s="66" t="s">
        <v>59</v>
      </c>
      <c r="D55" s="52"/>
      <c r="E55" s="52"/>
      <c r="F55" s="52"/>
      <c r="G55" s="52"/>
      <c r="H55" s="52"/>
      <c r="I55" s="52"/>
      <c r="J55" s="52"/>
      <c r="K55" s="52"/>
      <c r="L55" s="52"/>
      <c r="M55" s="52"/>
      <c r="N55" s="52"/>
      <c r="O55" s="52"/>
      <c r="P55" s="52"/>
      <c r="Q55" s="52"/>
      <c r="R55" s="52"/>
      <c r="S55" s="52"/>
      <c r="T55" s="52"/>
      <c r="U55" s="52"/>
      <c r="V55" s="52"/>
    </row>
    <row r="56" spans="1:52" s="7" customFormat="1" x14ac:dyDescent="0.25">
      <c r="A56" s="312" t="s">
        <v>265</v>
      </c>
      <c r="B56" s="66" t="s">
        <v>266</v>
      </c>
      <c r="D56" s="52"/>
      <c r="E56" s="52"/>
      <c r="F56" s="52"/>
      <c r="G56" s="52"/>
      <c r="H56" s="52"/>
      <c r="I56" s="52"/>
      <c r="J56" s="52"/>
      <c r="K56" s="52"/>
      <c r="L56" s="52"/>
      <c r="M56" s="52"/>
      <c r="N56" s="52"/>
      <c r="O56" s="52"/>
      <c r="P56" s="52"/>
      <c r="Q56" s="52"/>
      <c r="R56" s="52"/>
      <c r="S56" s="52"/>
      <c r="T56" s="52"/>
      <c r="U56" s="52"/>
      <c r="V56" s="52"/>
    </row>
    <row r="57" spans="1:52" s="7" customFormat="1" x14ac:dyDescent="0.25">
      <c r="A57" s="313" t="s">
        <v>267</v>
      </c>
      <c r="B57" s="314">
        <v>4701</v>
      </c>
      <c r="D57" s="52"/>
      <c r="E57" s="52"/>
      <c r="F57" s="52"/>
      <c r="G57" s="52"/>
      <c r="H57" s="52"/>
      <c r="I57" s="52"/>
      <c r="J57" s="52"/>
      <c r="K57" s="52"/>
      <c r="L57" s="52"/>
      <c r="M57" s="52"/>
      <c r="N57" s="52"/>
      <c r="O57" s="52"/>
      <c r="P57" s="52"/>
      <c r="Q57" s="52"/>
      <c r="R57" s="52"/>
      <c r="S57" s="52"/>
      <c r="T57" s="52"/>
      <c r="U57" s="52"/>
      <c r="V57" s="52"/>
    </row>
    <row r="58" spans="1:52" s="7" customFormat="1" x14ac:dyDescent="0.25">
      <c r="A58" s="313" t="s">
        <v>268</v>
      </c>
      <c r="B58" s="314">
        <v>4843</v>
      </c>
      <c r="D58" s="52"/>
      <c r="E58" s="52"/>
      <c r="F58" s="52"/>
      <c r="G58" s="52"/>
      <c r="H58" s="52"/>
      <c r="I58" s="52"/>
      <c r="J58" s="52"/>
      <c r="K58" s="52"/>
      <c r="L58" s="52"/>
      <c r="M58" s="52"/>
      <c r="N58" s="52"/>
      <c r="O58" s="52"/>
      <c r="P58" s="52"/>
      <c r="Q58" s="52"/>
      <c r="R58" s="52"/>
      <c r="S58" s="52"/>
      <c r="T58" s="52"/>
      <c r="U58" s="52"/>
      <c r="V58" s="52"/>
    </row>
    <row r="59" spans="1:52" s="7" customFormat="1" x14ac:dyDescent="0.25">
      <c r="A59" s="313" t="s">
        <v>269</v>
      </c>
      <c r="B59" s="314">
        <v>4583</v>
      </c>
      <c r="C59" s="7">
        <f>(B59/B57-1)*100</f>
        <v>-2.5101042331418855</v>
      </c>
      <c r="D59" s="52"/>
      <c r="E59" s="52"/>
      <c r="F59" s="52"/>
      <c r="G59" s="52"/>
      <c r="H59" s="52"/>
      <c r="I59" s="52"/>
      <c r="J59" s="52"/>
      <c r="K59" s="52"/>
      <c r="L59" s="52"/>
      <c r="M59" s="52"/>
      <c r="N59" s="52"/>
      <c r="O59" s="52"/>
      <c r="P59" s="52"/>
      <c r="Q59" s="52"/>
      <c r="R59" s="52"/>
      <c r="S59" s="52"/>
      <c r="T59" s="52"/>
      <c r="U59" s="52"/>
      <c r="V59" s="52"/>
    </row>
    <row r="60" spans="1:52" s="7" customFormat="1" x14ac:dyDescent="0.25">
      <c r="A60" s="65"/>
      <c r="D60" s="52"/>
      <c r="E60" s="52"/>
      <c r="F60" s="52"/>
      <c r="G60" s="52"/>
      <c r="H60" s="52"/>
      <c r="I60" s="52"/>
      <c r="J60" s="52"/>
      <c r="K60" s="52"/>
      <c r="L60" s="52"/>
      <c r="M60" s="52"/>
      <c r="N60" s="52"/>
      <c r="O60" s="52"/>
      <c r="P60" s="52"/>
      <c r="Q60" s="52"/>
      <c r="R60" s="52"/>
      <c r="S60" s="52"/>
      <c r="T60" s="52"/>
      <c r="U60" s="52"/>
      <c r="V60" s="52"/>
    </row>
    <row r="61" spans="1:52" s="7" customFormat="1" x14ac:dyDescent="0.25">
      <c r="A61" s="65"/>
      <c r="B61" s="66"/>
      <c r="D61" s="52"/>
      <c r="E61" s="52"/>
      <c r="F61" s="52"/>
      <c r="G61" s="52"/>
      <c r="H61" s="52"/>
      <c r="I61" s="52"/>
      <c r="J61" s="52"/>
      <c r="K61" s="52"/>
      <c r="L61" s="52"/>
      <c r="M61" s="52"/>
      <c r="N61" s="52"/>
      <c r="O61" s="52"/>
      <c r="P61" s="52"/>
      <c r="Q61" s="52"/>
      <c r="R61" s="52"/>
      <c r="S61" s="52"/>
      <c r="T61" s="52"/>
      <c r="U61" s="52"/>
      <c r="V61" s="52"/>
    </row>
    <row r="62" spans="1:52" s="319" customFormat="1" ht="11.25" x14ac:dyDescent="0.2">
      <c r="A62" s="315" t="s">
        <v>270</v>
      </c>
      <c r="B62" s="316" t="s">
        <v>271</v>
      </c>
      <c r="C62" s="315" t="s">
        <v>271</v>
      </c>
      <c r="D62" s="315" t="s">
        <v>271</v>
      </c>
      <c r="E62" s="317" t="s">
        <v>271</v>
      </c>
      <c r="F62" s="318" t="s">
        <v>271</v>
      </c>
      <c r="G62" s="318" t="s">
        <v>271</v>
      </c>
      <c r="H62" s="318" t="s">
        <v>271</v>
      </c>
      <c r="I62" s="318" t="s">
        <v>271</v>
      </c>
      <c r="J62" s="318" t="s">
        <v>271</v>
      </c>
      <c r="K62" s="318" t="s">
        <v>271</v>
      </c>
      <c r="L62" s="318" t="s">
        <v>271</v>
      </c>
      <c r="M62" s="318" t="s">
        <v>271</v>
      </c>
      <c r="N62" s="318" t="s">
        <v>271</v>
      </c>
      <c r="O62" s="318" t="s">
        <v>271</v>
      </c>
      <c r="P62" s="318" t="s">
        <v>271</v>
      </c>
      <c r="Q62" s="318" t="s">
        <v>271</v>
      </c>
      <c r="R62" s="318" t="s">
        <v>271</v>
      </c>
      <c r="S62" s="318" t="s">
        <v>271</v>
      </c>
      <c r="T62" s="318" t="s">
        <v>271</v>
      </c>
      <c r="U62" s="318" t="s">
        <v>271</v>
      </c>
      <c r="V62" s="318" t="s">
        <v>271</v>
      </c>
      <c r="W62" s="318" t="s">
        <v>271</v>
      </c>
      <c r="X62" s="318" t="s">
        <v>271</v>
      </c>
      <c r="Y62" s="318" t="s">
        <v>271</v>
      </c>
      <c r="Z62" s="318" t="s">
        <v>271</v>
      </c>
      <c r="AA62" s="318" t="s">
        <v>271</v>
      </c>
      <c r="AB62" s="318" t="s">
        <v>271</v>
      </c>
      <c r="AC62" s="318" t="s">
        <v>271</v>
      </c>
      <c r="AD62" s="318" t="s">
        <v>271</v>
      </c>
      <c r="AE62" s="318" t="s">
        <v>271</v>
      </c>
      <c r="AF62" s="318" t="s">
        <v>271</v>
      </c>
      <c r="AG62" s="318" t="s">
        <v>271</v>
      </c>
      <c r="AH62" s="318" t="s">
        <v>271</v>
      </c>
      <c r="AI62" s="318" t="s">
        <v>271</v>
      </c>
      <c r="AJ62" s="318" t="s">
        <v>271</v>
      </c>
      <c r="AK62" s="318" t="s">
        <v>271</v>
      </c>
      <c r="AL62" s="318" t="s">
        <v>271</v>
      </c>
      <c r="AM62" s="318" t="s">
        <v>271</v>
      </c>
      <c r="AN62" s="318" t="s">
        <v>271</v>
      </c>
      <c r="AO62" s="318" t="s">
        <v>271</v>
      </c>
      <c r="AP62" s="318" t="s">
        <v>271</v>
      </c>
      <c r="AQ62" s="318" t="s">
        <v>271</v>
      </c>
      <c r="AR62" s="318" t="s">
        <v>271</v>
      </c>
      <c r="AS62" s="318" t="s">
        <v>271</v>
      </c>
      <c r="AT62" s="318" t="s">
        <v>271</v>
      </c>
      <c r="AU62" s="318" t="s">
        <v>271</v>
      </c>
      <c r="AV62" s="318" t="s">
        <v>271</v>
      </c>
      <c r="AW62" s="318" t="s">
        <v>271</v>
      </c>
      <c r="AX62" s="318" t="s">
        <v>271</v>
      </c>
      <c r="AY62" s="318" t="s">
        <v>271</v>
      </c>
      <c r="AZ62" s="318" t="s">
        <v>271</v>
      </c>
    </row>
    <row r="63" spans="1:52" s="319" customFormat="1" ht="11.25" x14ac:dyDescent="0.2">
      <c r="A63" s="315" t="s">
        <v>272</v>
      </c>
      <c r="B63" s="316" t="s">
        <v>271</v>
      </c>
      <c r="C63" s="315" t="s">
        <v>271</v>
      </c>
      <c r="D63" s="315" t="s">
        <v>271</v>
      </c>
      <c r="E63" s="317" t="s">
        <v>271</v>
      </c>
      <c r="F63" s="318" t="s">
        <v>271</v>
      </c>
      <c r="G63" s="318" t="s">
        <v>271</v>
      </c>
      <c r="H63" s="318" t="s">
        <v>271</v>
      </c>
      <c r="I63" s="318" t="s">
        <v>271</v>
      </c>
      <c r="J63" s="318" t="s">
        <v>271</v>
      </c>
      <c r="K63" s="318" t="s">
        <v>271</v>
      </c>
      <c r="L63" s="318" t="s">
        <v>271</v>
      </c>
      <c r="M63" s="318" t="s">
        <v>271</v>
      </c>
      <c r="N63" s="318" t="s">
        <v>271</v>
      </c>
      <c r="O63" s="318" t="s">
        <v>271</v>
      </c>
      <c r="P63" s="318" t="s">
        <v>271</v>
      </c>
      <c r="Q63" s="318" t="s">
        <v>271</v>
      </c>
      <c r="R63" s="318" t="s">
        <v>271</v>
      </c>
      <c r="S63" s="318" t="s">
        <v>271</v>
      </c>
      <c r="T63" s="318" t="s">
        <v>271</v>
      </c>
      <c r="U63" s="318" t="s">
        <v>271</v>
      </c>
      <c r="V63" s="318" t="s">
        <v>271</v>
      </c>
      <c r="W63" s="318" t="s">
        <v>271</v>
      </c>
      <c r="X63" s="318" t="s">
        <v>271</v>
      </c>
      <c r="Y63" s="318" t="s">
        <v>271</v>
      </c>
      <c r="Z63" s="318" t="s">
        <v>271</v>
      </c>
      <c r="AA63" s="318" t="s">
        <v>271</v>
      </c>
      <c r="AB63" s="318" t="s">
        <v>271</v>
      </c>
      <c r="AC63" s="318" t="s">
        <v>271</v>
      </c>
      <c r="AD63" s="318" t="s">
        <v>271</v>
      </c>
      <c r="AE63" s="318" t="s">
        <v>271</v>
      </c>
      <c r="AF63" s="318" t="s">
        <v>271</v>
      </c>
      <c r="AG63" s="318" t="s">
        <v>271</v>
      </c>
      <c r="AH63" s="318" t="s">
        <v>271</v>
      </c>
      <c r="AI63" s="318" t="s">
        <v>271</v>
      </c>
      <c r="AJ63" s="318" t="s">
        <v>271</v>
      </c>
      <c r="AK63" s="318" t="s">
        <v>271</v>
      </c>
      <c r="AL63" s="318" t="s">
        <v>271</v>
      </c>
      <c r="AM63" s="318" t="s">
        <v>271</v>
      </c>
      <c r="AN63" s="318" t="s">
        <v>271</v>
      </c>
      <c r="AO63" s="318" t="s">
        <v>271</v>
      </c>
      <c r="AP63" s="318" t="s">
        <v>271</v>
      </c>
      <c r="AQ63" s="318" t="s">
        <v>271</v>
      </c>
      <c r="AR63" s="318" t="s">
        <v>271</v>
      </c>
      <c r="AS63" s="318" t="s">
        <v>271</v>
      </c>
      <c r="AT63" s="318" t="s">
        <v>271</v>
      </c>
      <c r="AU63" s="318" t="s">
        <v>271</v>
      </c>
      <c r="AV63" s="318" t="s">
        <v>271</v>
      </c>
      <c r="AW63" s="318" t="s">
        <v>271</v>
      </c>
      <c r="AX63" s="318" t="s">
        <v>271</v>
      </c>
      <c r="AY63" s="318" t="s">
        <v>271</v>
      </c>
      <c r="AZ63" s="318" t="s">
        <v>271</v>
      </c>
    </row>
    <row r="64" spans="1:52" s="319" customFormat="1" ht="11.25" x14ac:dyDescent="0.2">
      <c r="A64" s="315" t="s">
        <v>273</v>
      </c>
      <c r="B64" s="316" t="s">
        <v>271</v>
      </c>
      <c r="C64" s="315" t="s">
        <v>271</v>
      </c>
      <c r="D64" s="315" t="s">
        <v>271</v>
      </c>
      <c r="E64" s="317" t="s">
        <v>271</v>
      </c>
      <c r="F64" s="318" t="s">
        <v>271</v>
      </c>
      <c r="G64" s="318" t="s">
        <v>271</v>
      </c>
      <c r="H64" s="318" t="s">
        <v>271</v>
      </c>
      <c r="I64" s="318" t="s">
        <v>271</v>
      </c>
      <c r="J64" s="318" t="s">
        <v>271</v>
      </c>
      <c r="K64" s="318" t="s">
        <v>271</v>
      </c>
      <c r="L64" s="318" t="s">
        <v>271</v>
      </c>
      <c r="M64" s="318" t="s">
        <v>271</v>
      </c>
      <c r="N64" s="318" t="s">
        <v>271</v>
      </c>
      <c r="O64" s="318" t="s">
        <v>271</v>
      </c>
      <c r="P64" s="318" t="s">
        <v>271</v>
      </c>
      <c r="Q64" s="318" t="s">
        <v>271</v>
      </c>
      <c r="R64" s="318" t="s">
        <v>271</v>
      </c>
      <c r="S64" s="318" t="s">
        <v>271</v>
      </c>
      <c r="T64" s="318" t="s">
        <v>271</v>
      </c>
      <c r="U64" s="318" t="s">
        <v>271</v>
      </c>
      <c r="V64" s="318" t="s">
        <v>271</v>
      </c>
      <c r="W64" s="318" t="s">
        <v>271</v>
      </c>
      <c r="X64" s="318" t="s">
        <v>271</v>
      </c>
      <c r="Y64" s="318" t="s">
        <v>271</v>
      </c>
      <c r="Z64" s="318" t="s">
        <v>271</v>
      </c>
      <c r="AA64" s="318" t="s">
        <v>271</v>
      </c>
      <c r="AB64" s="318" t="s">
        <v>271</v>
      </c>
      <c r="AC64" s="318" t="s">
        <v>271</v>
      </c>
      <c r="AD64" s="318" t="s">
        <v>271</v>
      </c>
      <c r="AE64" s="318" t="s">
        <v>271</v>
      </c>
      <c r="AF64" s="318" t="s">
        <v>271</v>
      </c>
      <c r="AG64" s="318" t="s">
        <v>271</v>
      </c>
      <c r="AH64" s="318" t="s">
        <v>271</v>
      </c>
      <c r="AI64" s="318" t="s">
        <v>271</v>
      </c>
      <c r="AJ64" s="318" t="s">
        <v>271</v>
      </c>
      <c r="AK64" s="318" t="s">
        <v>271</v>
      </c>
      <c r="AL64" s="318" t="s">
        <v>271</v>
      </c>
      <c r="AM64" s="318" t="s">
        <v>271</v>
      </c>
      <c r="AN64" s="318" t="s">
        <v>271</v>
      </c>
      <c r="AO64" s="318" t="s">
        <v>271</v>
      </c>
      <c r="AP64" s="318" t="s">
        <v>271</v>
      </c>
      <c r="AQ64" s="318" t="s">
        <v>271</v>
      </c>
      <c r="AR64" s="318" t="s">
        <v>271</v>
      </c>
      <c r="AS64" s="318" t="s">
        <v>271</v>
      </c>
      <c r="AT64" s="318" t="s">
        <v>271</v>
      </c>
      <c r="AU64" s="318" t="s">
        <v>271</v>
      </c>
      <c r="AV64" s="318" t="s">
        <v>271</v>
      </c>
      <c r="AW64" s="318" t="s">
        <v>271</v>
      </c>
      <c r="AX64" s="318" t="s">
        <v>271</v>
      </c>
      <c r="AY64" s="318" t="s">
        <v>271</v>
      </c>
      <c r="AZ64" s="318" t="s">
        <v>271</v>
      </c>
    </row>
    <row r="65" spans="1:52" s="319" customFormat="1" ht="11.25" x14ac:dyDescent="0.2">
      <c r="A65" s="315" t="s">
        <v>271</v>
      </c>
      <c r="B65" s="316" t="s">
        <v>271</v>
      </c>
      <c r="C65" s="315" t="s">
        <v>271</v>
      </c>
      <c r="D65" s="315" t="s">
        <v>271</v>
      </c>
      <c r="E65" s="317" t="s">
        <v>274</v>
      </c>
      <c r="F65" s="318" t="s">
        <v>271</v>
      </c>
      <c r="G65" s="318" t="s">
        <v>271</v>
      </c>
      <c r="H65" s="318" t="s">
        <v>271</v>
      </c>
      <c r="I65" s="318" t="s">
        <v>271</v>
      </c>
      <c r="J65" s="318" t="s">
        <v>271</v>
      </c>
      <c r="K65" s="318" t="s">
        <v>271</v>
      </c>
      <c r="L65" s="318" t="s">
        <v>271</v>
      </c>
      <c r="M65" s="318" t="s">
        <v>271</v>
      </c>
      <c r="N65" s="318" t="s">
        <v>271</v>
      </c>
      <c r="O65" s="318" t="s">
        <v>271</v>
      </c>
      <c r="P65" s="318" t="s">
        <v>271</v>
      </c>
      <c r="Q65" s="318" t="s">
        <v>271</v>
      </c>
      <c r="R65" s="318" t="s">
        <v>271</v>
      </c>
      <c r="S65" s="318" t="s">
        <v>271</v>
      </c>
      <c r="T65" s="318" t="s">
        <v>271</v>
      </c>
      <c r="U65" s="318" t="s">
        <v>271</v>
      </c>
      <c r="V65" s="318" t="s">
        <v>271</v>
      </c>
      <c r="W65" s="318" t="s">
        <v>271</v>
      </c>
      <c r="X65" s="318" t="s">
        <v>271</v>
      </c>
      <c r="Y65" s="318" t="s">
        <v>271</v>
      </c>
      <c r="Z65" s="318" t="s">
        <v>271</v>
      </c>
      <c r="AA65" s="318" t="s">
        <v>271</v>
      </c>
      <c r="AB65" s="318" t="s">
        <v>271</v>
      </c>
      <c r="AC65" s="318" t="s">
        <v>271</v>
      </c>
      <c r="AD65" s="318" t="s">
        <v>271</v>
      </c>
      <c r="AE65" s="318" t="s">
        <v>271</v>
      </c>
      <c r="AF65" s="318" t="s">
        <v>271</v>
      </c>
      <c r="AG65" s="318" t="s">
        <v>271</v>
      </c>
      <c r="AH65" s="318" t="s">
        <v>271</v>
      </c>
      <c r="AI65" s="318" t="s">
        <v>271</v>
      </c>
      <c r="AJ65" s="318" t="s">
        <v>271</v>
      </c>
      <c r="AK65" s="318" t="s">
        <v>271</v>
      </c>
      <c r="AL65" s="318" t="s">
        <v>271</v>
      </c>
      <c r="AM65" s="318" t="s">
        <v>271</v>
      </c>
      <c r="AN65" s="318" t="s">
        <v>271</v>
      </c>
      <c r="AO65" s="318" t="s">
        <v>271</v>
      </c>
      <c r="AP65" s="318" t="s">
        <v>271</v>
      </c>
      <c r="AQ65" s="318" t="s">
        <v>271</v>
      </c>
      <c r="AR65" s="318" t="s">
        <v>271</v>
      </c>
      <c r="AS65" s="318" t="s">
        <v>271</v>
      </c>
      <c r="AT65" s="318" t="s">
        <v>271</v>
      </c>
      <c r="AU65" s="318" t="s">
        <v>271</v>
      </c>
      <c r="AV65" s="318" t="s">
        <v>271</v>
      </c>
      <c r="AW65" s="318" t="s">
        <v>271</v>
      </c>
      <c r="AX65" s="318" t="s">
        <v>271</v>
      </c>
      <c r="AY65" s="318" t="s">
        <v>271</v>
      </c>
      <c r="AZ65" s="318" t="s">
        <v>271</v>
      </c>
    </row>
    <row r="66" spans="1:52" s="319" customFormat="1" ht="22.5" x14ac:dyDescent="0.2">
      <c r="A66" s="315" t="s">
        <v>271</v>
      </c>
      <c r="B66" s="316" t="s">
        <v>275</v>
      </c>
      <c r="C66" s="320" t="s">
        <v>271</v>
      </c>
      <c r="D66" s="320" t="s">
        <v>271</v>
      </c>
      <c r="E66" s="321" t="s">
        <v>276</v>
      </c>
      <c r="F66" s="321" t="s">
        <v>276</v>
      </c>
      <c r="G66" s="321" t="s">
        <v>277</v>
      </c>
      <c r="H66" s="321" t="s">
        <v>89</v>
      </c>
      <c r="I66" s="321" t="s">
        <v>278</v>
      </c>
      <c r="J66" s="321" t="s">
        <v>279</v>
      </c>
      <c r="K66" s="321" t="s">
        <v>280</v>
      </c>
      <c r="L66" s="321" t="s">
        <v>281</v>
      </c>
      <c r="M66" s="321" t="s">
        <v>282</v>
      </c>
      <c r="N66" s="321" t="s">
        <v>283</v>
      </c>
      <c r="O66" s="321" t="s">
        <v>284</v>
      </c>
      <c r="P66" s="321" t="s">
        <v>285</v>
      </c>
      <c r="Q66" s="321" t="s">
        <v>286</v>
      </c>
      <c r="R66" s="321" t="s">
        <v>287</v>
      </c>
      <c r="S66" s="321" t="s">
        <v>288</v>
      </c>
      <c r="T66" s="321" t="s">
        <v>289</v>
      </c>
      <c r="U66" s="321" t="s">
        <v>290</v>
      </c>
      <c r="V66" s="321" t="s">
        <v>291</v>
      </c>
      <c r="W66" s="321" t="s">
        <v>292</v>
      </c>
      <c r="X66" s="321" t="s">
        <v>271</v>
      </c>
      <c r="Y66" s="321" t="s">
        <v>271</v>
      </c>
      <c r="Z66" s="318" t="s">
        <v>271</v>
      </c>
      <c r="AA66" s="318" t="s">
        <v>271</v>
      </c>
      <c r="AB66" s="318" t="s">
        <v>271</v>
      </c>
      <c r="AC66" s="318" t="s">
        <v>271</v>
      </c>
      <c r="AD66" s="318" t="s">
        <v>271</v>
      </c>
      <c r="AE66" s="318" t="s">
        <v>271</v>
      </c>
      <c r="AF66" s="318" t="s">
        <v>271</v>
      </c>
      <c r="AG66" s="318" t="s">
        <v>271</v>
      </c>
      <c r="AH66" s="318" t="s">
        <v>271</v>
      </c>
      <c r="AI66" s="318" t="s">
        <v>271</v>
      </c>
      <c r="AJ66" s="318" t="s">
        <v>271</v>
      </c>
      <c r="AK66" s="318" t="s">
        <v>271</v>
      </c>
      <c r="AL66" s="318" t="s">
        <v>271</v>
      </c>
      <c r="AM66" s="318" t="s">
        <v>271</v>
      </c>
      <c r="AN66" s="318" t="s">
        <v>271</v>
      </c>
      <c r="AO66" s="318" t="s">
        <v>271</v>
      </c>
      <c r="AP66" s="318" t="s">
        <v>271</v>
      </c>
      <c r="AQ66" s="318" t="s">
        <v>271</v>
      </c>
      <c r="AR66" s="318" t="s">
        <v>271</v>
      </c>
      <c r="AS66" s="318" t="s">
        <v>271</v>
      </c>
      <c r="AT66" s="318" t="s">
        <v>271</v>
      </c>
      <c r="AU66" s="318" t="s">
        <v>271</v>
      </c>
      <c r="AV66" s="318" t="s">
        <v>271</v>
      </c>
      <c r="AW66" s="318" t="s">
        <v>271</v>
      </c>
      <c r="AX66" s="318" t="s">
        <v>271</v>
      </c>
      <c r="AY66" s="318" t="s">
        <v>271</v>
      </c>
      <c r="AZ66" s="318" t="s">
        <v>271</v>
      </c>
    </row>
    <row r="67" spans="1:52" s="319" customFormat="1" ht="11.25" x14ac:dyDescent="0.2">
      <c r="A67" s="315" t="s">
        <v>293</v>
      </c>
      <c r="B67" s="316" t="s">
        <v>294</v>
      </c>
      <c r="C67" s="320" t="s">
        <v>271</v>
      </c>
      <c r="D67" s="320" t="s">
        <v>293</v>
      </c>
      <c r="E67" s="318" t="s">
        <v>295</v>
      </c>
      <c r="F67" s="318" t="s">
        <v>294</v>
      </c>
      <c r="G67" s="318" t="s">
        <v>296</v>
      </c>
      <c r="H67" s="318" t="s">
        <v>296</v>
      </c>
      <c r="I67" s="318" t="s">
        <v>296</v>
      </c>
      <c r="J67" s="318" t="s">
        <v>296</v>
      </c>
      <c r="K67" s="318" t="s">
        <v>296</v>
      </c>
      <c r="L67" s="318" t="s">
        <v>296</v>
      </c>
      <c r="M67" s="318" t="s">
        <v>296</v>
      </c>
      <c r="N67" s="318" t="s">
        <v>296</v>
      </c>
      <c r="O67" s="318" t="s">
        <v>296</v>
      </c>
      <c r="P67" s="318" t="s">
        <v>296</v>
      </c>
      <c r="Q67" s="318" t="s">
        <v>296</v>
      </c>
      <c r="R67" s="318" t="s">
        <v>296</v>
      </c>
      <c r="S67" s="318" t="s">
        <v>271</v>
      </c>
      <c r="T67" s="318" t="s">
        <v>271</v>
      </c>
      <c r="U67" s="318" t="s">
        <v>271</v>
      </c>
      <c r="V67" s="318" t="s">
        <v>271</v>
      </c>
      <c r="W67" s="318" t="s">
        <v>271</v>
      </c>
      <c r="X67" s="318" t="s">
        <v>271</v>
      </c>
      <c r="Y67" s="318" t="s">
        <v>271</v>
      </c>
      <c r="Z67" s="318" t="s">
        <v>271</v>
      </c>
      <c r="AA67" s="318" t="s">
        <v>271</v>
      </c>
      <c r="AB67" s="318" t="s">
        <v>271</v>
      </c>
      <c r="AC67" s="318" t="s">
        <v>271</v>
      </c>
      <c r="AD67" s="318" t="s">
        <v>271</v>
      </c>
      <c r="AE67" s="318" t="s">
        <v>271</v>
      </c>
      <c r="AF67" s="318" t="s">
        <v>271</v>
      </c>
      <c r="AG67" s="318" t="s">
        <v>271</v>
      </c>
      <c r="AH67" s="318" t="s">
        <v>271</v>
      </c>
      <c r="AI67" s="318" t="s">
        <v>271</v>
      </c>
      <c r="AJ67" s="318" t="s">
        <v>271</v>
      </c>
      <c r="AK67" s="318" t="s">
        <v>271</v>
      </c>
      <c r="AL67" s="318" t="s">
        <v>271</v>
      </c>
      <c r="AM67" s="318" t="s">
        <v>271</v>
      </c>
      <c r="AN67" s="318" t="s">
        <v>271</v>
      </c>
      <c r="AO67" s="318" t="s">
        <v>271</v>
      </c>
      <c r="AP67" s="318" t="s">
        <v>271</v>
      </c>
      <c r="AQ67" s="318" t="s">
        <v>271</v>
      </c>
      <c r="AR67" s="318" t="s">
        <v>271</v>
      </c>
      <c r="AS67" s="318" t="s">
        <v>271</v>
      </c>
      <c r="AT67" s="318" t="s">
        <v>271</v>
      </c>
      <c r="AU67" s="318" t="s">
        <v>271</v>
      </c>
      <c r="AV67" s="318" t="s">
        <v>271</v>
      </c>
      <c r="AW67" s="318" t="s">
        <v>271</v>
      </c>
      <c r="AX67" s="318" t="s">
        <v>271</v>
      </c>
      <c r="AY67" s="318" t="s">
        <v>271</v>
      </c>
      <c r="AZ67" s="318" t="s">
        <v>271</v>
      </c>
    </row>
    <row r="68" spans="1:52" s="319" customFormat="1" ht="11.25" x14ac:dyDescent="0.2">
      <c r="A68" s="320" t="s">
        <v>297</v>
      </c>
      <c r="B68" s="322" t="s">
        <v>298</v>
      </c>
      <c r="C68" s="320" t="s">
        <v>271</v>
      </c>
      <c r="D68" s="320" t="s">
        <v>299</v>
      </c>
      <c r="E68" s="318">
        <v>10</v>
      </c>
      <c r="F68" s="318">
        <v>11</v>
      </c>
      <c r="G68" s="318">
        <v>0</v>
      </c>
      <c r="H68" s="318">
        <v>0</v>
      </c>
      <c r="I68" s="318">
        <v>0</v>
      </c>
      <c r="J68" s="318">
        <v>0</v>
      </c>
      <c r="K68" s="318">
        <v>0</v>
      </c>
      <c r="L68" s="318">
        <v>0</v>
      </c>
      <c r="M68" s="318">
        <v>0</v>
      </c>
      <c r="N68" s="318">
        <v>0</v>
      </c>
      <c r="O68" s="318">
        <v>0</v>
      </c>
      <c r="P68" s="318">
        <v>0</v>
      </c>
      <c r="Q68" s="318">
        <v>0</v>
      </c>
      <c r="R68" s="318">
        <v>0</v>
      </c>
      <c r="S68" s="318">
        <v>0</v>
      </c>
      <c r="T68" s="318">
        <v>0</v>
      </c>
      <c r="U68" s="318">
        <v>0</v>
      </c>
      <c r="V68" s="318">
        <v>0</v>
      </c>
      <c r="W68" s="318">
        <v>-0.46200000000000002</v>
      </c>
      <c r="X68" s="318" t="s">
        <v>271</v>
      </c>
      <c r="Y68" s="318" t="s">
        <v>271</v>
      </c>
      <c r="Z68" s="318" t="s">
        <v>271</v>
      </c>
      <c r="AA68" s="318" t="s">
        <v>271</v>
      </c>
      <c r="AB68" s="318" t="s">
        <v>271</v>
      </c>
      <c r="AC68" s="318" t="s">
        <v>271</v>
      </c>
      <c r="AD68" s="318" t="s">
        <v>271</v>
      </c>
      <c r="AE68" s="318" t="s">
        <v>271</v>
      </c>
      <c r="AF68" s="318" t="s">
        <v>271</v>
      </c>
      <c r="AG68" s="318" t="s">
        <v>271</v>
      </c>
      <c r="AH68" s="318" t="s">
        <v>271</v>
      </c>
      <c r="AI68" s="318" t="s">
        <v>271</v>
      </c>
      <c r="AJ68" s="318" t="s">
        <v>271</v>
      </c>
      <c r="AK68" s="318" t="s">
        <v>271</v>
      </c>
      <c r="AL68" s="318" t="s">
        <v>271</v>
      </c>
      <c r="AM68" s="318" t="s">
        <v>271</v>
      </c>
      <c r="AN68" s="318" t="s">
        <v>271</v>
      </c>
      <c r="AO68" s="318" t="s">
        <v>271</v>
      </c>
      <c r="AP68" s="318" t="s">
        <v>271</v>
      </c>
      <c r="AQ68" s="318" t="s">
        <v>271</v>
      </c>
      <c r="AR68" s="318" t="s">
        <v>271</v>
      </c>
      <c r="AS68" s="318" t="s">
        <v>271</v>
      </c>
      <c r="AT68" s="318" t="s">
        <v>271</v>
      </c>
      <c r="AU68" s="318" t="s">
        <v>271</v>
      </c>
      <c r="AV68" s="318" t="s">
        <v>271</v>
      </c>
      <c r="AW68" s="318" t="s">
        <v>271</v>
      </c>
      <c r="AX68" s="318" t="s">
        <v>271</v>
      </c>
      <c r="AY68" s="318" t="s">
        <v>271</v>
      </c>
      <c r="AZ68" s="318" t="s">
        <v>271</v>
      </c>
    </row>
    <row r="69" spans="1:52" s="319" customFormat="1" ht="11.25" x14ac:dyDescent="0.2">
      <c r="A69" s="320" t="s">
        <v>300</v>
      </c>
      <c r="B69" s="322" t="s">
        <v>298</v>
      </c>
      <c r="C69" s="320" t="s">
        <v>271</v>
      </c>
      <c r="D69" s="320" t="s">
        <v>297</v>
      </c>
      <c r="E69" s="318">
        <v>40</v>
      </c>
      <c r="F69" s="318">
        <v>41</v>
      </c>
      <c r="G69" s="318">
        <v>0</v>
      </c>
      <c r="H69" s="318">
        <v>0</v>
      </c>
      <c r="I69" s="318">
        <v>0</v>
      </c>
      <c r="J69" s="318">
        <v>0</v>
      </c>
      <c r="K69" s="318">
        <v>0</v>
      </c>
      <c r="L69" s="318">
        <v>0</v>
      </c>
      <c r="M69" s="318">
        <v>0</v>
      </c>
      <c r="N69" s="318">
        <v>0</v>
      </c>
      <c r="O69" s="318">
        <v>0</v>
      </c>
      <c r="P69" s="318">
        <v>0</v>
      </c>
      <c r="Q69" s="318">
        <v>0</v>
      </c>
      <c r="R69" s="318">
        <v>0</v>
      </c>
      <c r="S69" s="318">
        <v>0</v>
      </c>
      <c r="T69" s="318">
        <v>0</v>
      </c>
      <c r="U69" s="318">
        <v>0</v>
      </c>
      <c r="V69" s="318">
        <v>0</v>
      </c>
      <c r="W69" s="318">
        <v>-1.7789999999999999</v>
      </c>
      <c r="X69" s="318" t="s">
        <v>271</v>
      </c>
      <c r="Y69" s="318" t="s">
        <v>271</v>
      </c>
      <c r="Z69" s="318" t="s">
        <v>271</v>
      </c>
      <c r="AA69" s="318" t="s">
        <v>271</v>
      </c>
      <c r="AB69" s="318" t="s">
        <v>271</v>
      </c>
      <c r="AC69" s="318" t="s">
        <v>271</v>
      </c>
      <c r="AD69" s="318" t="s">
        <v>271</v>
      </c>
      <c r="AE69" s="318" t="s">
        <v>271</v>
      </c>
      <c r="AF69" s="318" t="s">
        <v>271</v>
      </c>
      <c r="AG69" s="318" t="s">
        <v>271</v>
      </c>
      <c r="AH69" s="318" t="s">
        <v>271</v>
      </c>
      <c r="AI69" s="318" t="s">
        <v>271</v>
      </c>
      <c r="AJ69" s="318" t="s">
        <v>271</v>
      </c>
      <c r="AK69" s="318" t="s">
        <v>271</v>
      </c>
      <c r="AL69" s="318" t="s">
        <v>271</v>
      </c>
      <c r="AM69" s="318" t="s">
        <v>271</v>
      </c>
      <c r="AN69" s="318" t="s">
        <v>271</v>
      </c>
      <c r="AO69" s="318" t="s">
        <v>271</v>
      </c>
      <c r="AP69" s="318" t="s">
        <v>271</v>
      </c>
      <c r="AQ69" s="318" t="s">
        <v>271</v>
      </c>
      <c r="AR69" s="318" t="s">
        <v>271</v>
      </c>
      <c r="AS69" s="318" t="s">
        <v>271</v>
      </c>
      <c r="AT69" s="318" t="s">
        <v>271</v>
      </c>
      <c r="AU69" s="318" t="s">
        <v>271</v>
      </c>
      <c r="AV69" s="318" t="s">
        <v>271</v>
      </c>
      <c r="AW69" s="318" t="s">
        <v>271</v>
      </c>
      <c r="AX69" s="318" t="s">
        <v>271</v>
      </c>
      <c r="AY69" s="318" t="s">
        <v>271</v>
      </c>
      <c r="AZ69" s="318" t="s">
        <v>271</v>
      </c>
    </row>
    <row r="70" spans="1:52" s="319" customFormat="1" ht="11.25" x14ac:dyDescent="0.2">
      <c r="A70" s="320" t="s">
        <v>271</v>
      </c>
      <c r="B70" s="322" t="s">
        <v>271</v>
      </c>
      <c r="C70" s="320" t="s">
        <v>271</v>
      </c>
      <c r="D70" s="320" t="s">
        <v>301</v>
      </c>
      <c r="E70" s="318">
        <v>57</v>
      </c>
      <c r="F70" s="318">
        <v>60</v>
      </c>
      <c r="G70" s="318">
        <v>0</v>
      </c>
      <c r="H70" s="318">
        <v>0</v>
      </c>
      <c r="I70" s="318">
        <v>0</v>
      </c>
      <c r="J70" s="318">
        <v>0</v>
      </c>
      <c r="K70" s="318">
        <v>0</v>
      </c>
      <c r="L70" s="318">
        <v>0</v>
      </c>
      <c r="M70" s="318">
        <v>0</v>
      </c>
      <c r="N70" s="318">
        <v>0</v>
      </c>
      <c r="O70" s="318">
        <v>0</v>
      </c>
      <c r="P70" s="318">
        <v>0</v>
      </c>
      <c r="Q70" s="318">
        <v>0</v>
      </c>
      <c r="R70" s="318">
        <v>0</v>
      </c>
      <c r="S70" s="318">
        <v>0</v>
      </c>
      <c r="T70" s="318">
        <v>0</v>
      </c>
      <c r="U70" s="318">
        <v>0</v>
      </c>
      <c r="V70" s="318">
        <v>0</v>
      </c>
      <c r="W70" s="318">
        <v>-2.5489999999999999</v>
      </c>
      <c r="X70" s="318" t="s">
        <v>271</v>
      </c>
      <c r="Y70" s="318" t="s">
        <v>271</v>
      </c>
      <c r="Z70" s="318" t="s">
        <v>271</v>
      </c>
      <c r="AA70" s="318" t="s">
        <v>271</v>
      </c>
      <c r="AB70" s="318" t="s">
        <v>271</v>
      </c>
      <c r="AC70" s="318" t="s">
        <v>271</v>
      </c>
      <c r="AD70" s="318" t="s">
        <v>271</v>
      </c>
      <c r="AE70" s="318" t="s">
        <v>271</v>
      </c>
      <c r="AF70" s="318" t="s">
        <v>271</v>
      </c>
      <c r="AG70" s="318" t="s">
        <v>271</v>
      </c>
      <c r="AH70" s="318" t="s">
        <v>271</v>
      </c>
      <c r="AI70" s="318" t="s">
        <v>271</v>
      </c>
      <c r="AJ70" s="318" t="s">
        <v>271</v>
      </c>
      <c r="AK70" s="318" t="s">
        <v>271</v>
      </c>
      <c r="AL70" s="318" t="s">
        <v>271</v>
      </c>
      <c r="AM70" s="318" t="s">
        <v>271</v>
      </c>
      <c r="AN70" s="318" t="s">
        <v>271</v>
      </c>
      <c r="AO70" s="318" t="s">
        <v>271</v>
      </c>
      <c r="AP70" s="318" t="s">
        <v>271</v>
      </c>
      <c r="AQ70" s="318" t="s">
        <v>271</v>
      </c>
      <c r="AR70" s="318" t="s">
        <v>271</v>
      </c>
      <c r="AS70" s="318" t="s">
        <v>271</v>
      </c>
      <c r="AT70" s="318" t="s">
        <v>271</v>
      </c>
      <c r="AU70" s="318" t="s">
        <v>271</v>
      </c>
      <c r="AV70" s="318" t="s">
        <v>271</v>
      </c>
      <c r="AW70" s="318" t="s">
        <v>271</v>
      </c>
      <c r="AX70" s="318" t="s">
        <v>271</v>
      </c>
      <c r="AY70" s="318" t="s">
        <v>271</v>
      </c>
      <c r="AZ70" s="318" t="s">
        <v>271</v>
      </c>
    </row>
    <row r="71" spans="1:52" s="319" customFormat="1" ht="11.25" x14ac:dyDescent="0.2">
      <c r="A71" s="320" t="s">
        <v>302</v>
      </c>
      <c r="B71" s="322" t="s">
        <v>298</v>
      </c>
      <c r="C71" s="320" t="s">
        <v>271</v>
      </c>
      <c r="D71" s="320" t="s">
        <v>271</v>
      </c>
      <c r="E71" s="318" t="s">
        <v>271</v>
      </c>
      <c r="F71" s="318" t="s">
        <v>271</v>
      </c>
      <c r="G71" s="318" t="s">
        <v>271</v>
      </c>
      <c r="H71" s="318" t="s">
        <v>271</v>
      </c>
      <c r="I71" s="318" t="s">
        <v>271</v>
      </c>
      <c r="J71" s="318" t="s">
        <v>271</v>
      </c>
      <c r="K71" s="318" t="s">
        <v>271</v>
      </c>
      <c r="L71" s="318" t="s">
        <v>271</v>
      </c>
      <c r="M71" s="318" t="s">
        <v>271</v>
      </c>
      <c r="N71" s="318" t="s">
        <v>271</v>
      </c>
      <c r="O71" s="318" t="s">
        <v>271</v>
      </c>
      <c r="P71" s="318" t="s">
        <v>271</v>
      </c>
      <c r="Q71" s="318" t="s">
        <v>271</v>
      </c>
      <c r="R71" s="318" t="s">
        <v>271</v>
      </c>
      <c r="S71" s="318" t="s">
        <v>271</v>
      </c>
      <c r="T71" s="318" t="s">
        <v>271</v>
      </c>
      <c r="U71" s="318" t="s">
        <v>271</v>
      </c>
      <c r="V71" s="318" t="s">
        <v>271</v>
      </c>
      <c r="W71" s="318" t="s">
        <v>271</v>
      </c>
      <c r="X71" s="318" t="s">
        <v>271</v>
      </c>
      <c r="Y71" s="318" t="s">
        <v>271</v>
      </c>
      <c r="Z71" s="318" t="s">
        <v>271</v>
      </c>
      <c r="AA71" s="318" t="s">
        <v>271</v>
      </c>
      <c r="AB71" s="318" t="s">
        <v>271</v>
      </c>
      <c r="AC71" s="318" t="s">
        <v>271</v>
      </c>
      <c r="AD71" s="318" t="s">
        <v>271</v>
      </c>
      <c r="AE71" s="318" t="s">
        <v>271</v>
      </c>
      <c r="AF71" s="318" t="s">
        <v>271</v>
      </c>
      <c r="AG71" s="318" t="s">
        <v>271</v>
      </c>
      <c r="AH71" s="318" t="s">
        <v>271</v>
      </c>
      <c r="AI71" s="318" t="s">
        <v>271</v>
      </c>
      <c r="AJ71" s="318" t="s">
        <v>271</v>
      </c>
      <c r="AK71" s="318" t="s">
        <v>271</v>
      </c>
      <c r="AL71" s="318" t="s">
        <v>271</v>
      </c>
      <c r="AM71" s="318" t="s">
        <v>271</v>
      </c>
      <c r="AN71" s="318" t="s">
        <v>271</v>
      </c>
      <c r="AO71" s="318" t="s">
        <v>271</v>
      </c>
      <c r="AP71" s="318" t="s">
        <v>271</v>
      </c>
      <c r="AQ71" s="318" t="s">
        <v>271</v>
      </c>
      <c r="AR71" s="318" t="s">
        <v>271</v>
      </c>
      <c r="AS71" s="318" t="s">
        <v>271</v>
      </c>
      <c r="AT71" s="318" t="s">
        <v>271</v>
      </c>
      <c r="AU71" s="318" t="s">
        <v>271</v>
      </c>
      <c r="AV71" s="318" t="s">
        <v>271</v>
      </c>
      <c r="AW71" s="318" t="s">
        <v>271</v>
      </c>
      <c r="AX71" s="318" t="s">
        <v>271</v>
      </c>
      <c r="AY71" s="318" t="s">
        <v>271</v>
      </c>
      <c r="AZ71" s="318" t="s">
        <v>271</v>
      </c>
    </row>
    <row r="72" spans="1:52" s="319" customFormat="1" ht="11.25" x14ac:dyDescent="0.2">
      <c r="A72" s="320" t="s">
        <v>271</v>
      </c>
      <c r="B72" s="322" t="s">
        <v>271</v>
      </c>
      <c r="C72" s="320" t="s">
        <v>271</v>
      </c>
      <c r="D72" s="320" t="s">
        <v>303</v>
      </c>
      <c r="E72" s="318">
        <v>107</v>
      </c>
      <c r="F72" s="318">
        <v>112</v>
      </c>
      <c r="G72" s="318">
        <v>0</v>
      </c>
      <c r="H72" s="318">
        <v>0</v>
      </c>
      <c r="I72" s="318">
        <v>0</v>
      </c>
      <c r="J72" s="318">
        <v>0</v>
      </c>
      <c r="K72" s="318">
        <v>0</v>
      </c>
      <c r="L72" s="318">
        <v>0</v>
      </c>
      <c r="M72" s="318">
        <v>0</v>
      </c>
      <c r="N72" s="318">
        <v>0</v>
      </c>
      <c r="O72" s="318">
        <v>0</v>
      </c>
      <c r="P72" s="318">
        <v>0</v>
      </c>
      <c r="Q72" s="318">
        <v>0</v>
      </c>
      <c r="R72" s="318">
        <v>0</v>
      </c>
      <c r="S72" s="318">
        <v>0</v>
      </c>
      <c r="T72" s="318">
        <v>0</v>
      </c>
      <c r="U72" s="318">
        <v>0</v>
      </c>
      <c r="V72" s="318">
        <v>0</v>
      </c>
      <c r="W72" s="318">
        <v>-4.79</v>
      </c>
      <c r="X72" s="318" t="s">
        <v>271</v>
      </c>
      <c r="Y72" s="318" t="s">
        <v>271</v>
      </c>
      <c r="Z72" s="318" t="s">
        <v>271</v>
      </c>
      <c r="AA72" s="318" t="s">
        <v>271</v>
      </c>
      <c r="AB72" s="318" t="s">
        <v>271</v>
      </c>
      <c r="AC72" s="318" t="s">
        <v>271</v>
      </c>
      <c r="AD72" s="318" t="s">
        <v>271</v>
      </c>
      <c r="AE72" s="318" t="s">
        <v>271</v>
      </c>
      <c r="AF72" s="318" t="s">
        <v>271</v>
      </c>
      <c r="AG72" s="318" t="s">
        <v>271</v>
      </c>
      <c r="AH72" s="318" t="s">
        <v>271</v>
      </c>
      <c r="AI72" s="318" t="s">
        <v>271</v>
      </c>
      <c r="AJ72" s="318" t="s">
        <v>271</v>
      </c>
      <c r="AK72" s="318" t="s">
        <v>271</v>
      </c>
      <c r="AL72" s="318" t="s">
        <v>271</v>
      </c>
      <c r="AM72" s="318" t="s">
        <v>271</v>
      </c>
      <c r="AN72" s="318" t="s">
        <v>271</v>
      </c>
      <c r="AO72" s="318" t="s">
        <v>271</v>
      </c>
      <c r="AP72" s="318" t="s">
        <v>271</v>
      </c>
      <c r="AQ72" s="318" t="s">
        <v>271</v>
      </c>
      <c r="AR72" s="318" t="s">
        <v>271</v>
      </c>
      <c r="AS72" s="318" t="s">
        <v>271</v>
      </c>
      <c r="AT72" s="318" t="s">
        <v>271</v>
      </c>
      <c r="AU72" s="318" t="s">
        <v>271</v>
      </c>
      <c r="AV72" s="318" t="s">
        <v>271</v>
      </c>
      <c r="AW72" s="318" t="s">
        <v>271</v>
      </c>
      <c r="AX72" s="318" t="s">
        <v>271</v>
      </c>
      <c r="AY72" s="318" t="s">
        <v>271</v>
      </c>
      <c r="AZ72" s="318" t="s">
        <v>271</v>
      </c>
    </row>
    <row r="73" spans="1:52" s="319" customFormat="1" ht="11.25" x14ac:dyDescent="0.2">
      <c r="A73" s="320" t="s">
        <v>304</v>
      </c>
      <c r="B73" s="322">
        <v>708</v>
      </c>
      <c r="C73" s="320" t="s">
        <v>271</v>
      </c>
      <c r="D73" s="320" t="s">
        <v>271</v>
      </c>
      <c r="E73" s="318" t="s">
        <v>271</v>
      </c>
      <c r="F73" s="318" t="s">
        <v>271</v>
      </c>
      <c r="G73" s="318" t="s">
        <v>271</v>
      </c>
      <c r="H73" s="318" t="s">
        <v>271</v>
      </c>
      <c r="I73" s="318" t="s">
        <v>271</v>
      </c>
      <c r="J73" s="318" t="s">
        <v>271</v>
      </c>
      <c r="K73" s="318" t="s">
        <v>271</v>
      </c>
      <c r="L73" s="318" t="s">
        <v>271</v>
      </c>
      <c r="M73" s="318" t="s">
        <v>271</v>
      </c>
      <c r="N73" s="318" t="s">
        <v>271</v>
      </c>
      <c r="O73" s="318" t="s">
        <v>271</v>
      </c>
      <c r="P73" s="318" t="s">
        <v>271</v>
      </c>
      <c r="Q73" s="318" t="s">
        <v>271</v>
      </c>
      <c r="R73" s="318" t="s">
        <v>271</v>
      </c>
      <c r="S73" s="318" t="s">
        <v>271</v>
      </c>
      <c r="T73" s="318" t="s">
        <v>271</v>
      </c>
      <c r="U73" s="318" t="s">
        <v>271</v>
      </c>
      <c r="V73" s="318" t="s">
        <v>271</v>
      </c>
      <c r="W73" s="318" t="s">
        <v>271</v>
      </c>
      <c r="X73" s="318" t="s">
        <v>271</v>
      </c>
      <c r="Y73" s="318" t="s">
        <v>271</v>
      </c>
      <c r="Z73" s="318" t="s">
        <v>271</v>
      </c>
      <c r="AA73" s="318" t="s">
        <v>271</v>
      </c>
      <c r="AB73" s="318" t="s">
        <v>271</v>
      </c>
      <c r="AC73" s="318" t="s">
        <v>271</v>
      </c>
      <c r="AD73" s="318" t="s">
        <v>271</v>
      </c>
      <c r="AE73" s="318" t="s">
        <v>271</v>
      </c>
      <c r="AF73" s="318" t="s">
        <v>271</v>
      </c>
      <c r="AG73" s="318" t="s">
        <v>271</v>
      </c>
      <c r="AH73" s="318" t="s">
        <v>271</v>
      </c>
      <c r="AI73" s="318" t="s">
        <v>271</v>
      </c>
      <c r="AJ73" s="318" t="s">
        <v>271</v>
      </c>
      <c r="AK73" s="318" t="s">
        <v>271</v>
      </c>
      <c r="AL73" s="318" t="s">
        <v>271</v>
      </c>
      <c r="AM73" s="318" t="s">
        <v>271</v>
      </c>
      <c r="AN73" s="318" t="s">
        <v>271</v>
      </c>
      <c r="AO73" s="318" t="s">
        <v>271</v>
      </c>
      <c r="AP73" s="318" t="s">
        <v>271</v>
      </c>
      <c r="AQ73" s="318" t="s">
        <v>271</v>
      </c>
      <c r="AR73" s="318" t="s">
        <v>271</v>
      </c>
      <c r="AS73" s="318" t="s">
        <v>271</v>
      </c>
      <c r="AT73" s="318" t="s">
        <v>271</v>
      </c>
      <c r="AU73" s="318" t="s">
        <v>271</v>
      </c>
      <c r="AV73" s="318" t="s">
        <v>271</v>
      </c>
      <c r="AW73" s="318" t="s">
        <v>271</v>
      </c>
      <c r="AX73" s="318" t="s">
        <v>271</v>
      </c>
      <c r="AY73" s="318" t="s">
        <v>271</v>
      </c>
      <c r="AZ73" s="318" t="s">
        <v>271</v>
      </c>
    </row>
    <row r="74" spans="1:52" s="319" customFormat="1" ht="11.25" x14ac:dyDescent="0.2">
      <c r="A74" s="320" t="s">
        <v>271</v>
      </c>
      <c r="B74" s="322" t="s">
        <v>271</v>
      </c>
      <c r="C74" s="320" t="s">
        <v>271</v>
      </c>
      <c r="D74" s="320" t="s">
        <v>305</v>
      </c>
      <c r="E74" s="318">
        <v>615</v>
      </c>
      <c r="F74" s="318">
        <v>581</v>
      </c>
      <c r="G74" s="318">
        <v>0</v>
      </c>
      <c r="H74" s="318">
        <v>0</v>
      </c>
      <c r="I74" s="318">
        <v>0</v>
      </c>
      <c r="J74" s="318">
        <v>0</v>
      </c>
      <c r="K74" s="318">
        <v>0</v>
      </c>
      <c r="L74" s="318">
        <v>0</v>
      </c>
      <c r="M74" s="318">
        <v>0</v>
      </c>
      <c r="N74" s="318">
        <v>0</v>
      </c>
      <c r="O74" s="318">
        <v>0</v>
      </c>
      <c r="P74" s="318">
        <v>0</v>
      </c>
      <c r="Q74" s="318">
        <v>0</v>
      </c>
      <c r="R74" s="318">
        <v>0</v>
      </c>
      <c r="S74" s="318">
        <v>0</v>
      </c>
      <c r="T74" s="318">
        <v>59.23</v>
      </c>
      <c r="U74" s="318">
        <v>0</v>
      </c>
      <c r="V74" s="318">
        <v>0</v>
      </c>
      <c r="W74" s="318">
        <v>-24.885999999999999</v>
      </c>
      <c r="X74" s="318" t="s">
        <v>271</v>
      </c>
      <c r="Y74" s="318" t="s">
        <v>271</v>
      </c>
      <c r="Z74" s="318" t="s">
        <v>271</v>
      </c>
      <c r="AA74" s="318" t="s">
        <v>271</v>
      </c>
      <c r="AB74" s="318" t="s">
        <v>271</v>
      </c>
      <c r="AC74" s="318" t="s">
        <v>271</v>
      </c>
      <c r="AD74" s="318" t="s">
        <v>271</v>
      </c>
      <c r="AE74" s="318" t="s">
        <v>271</v>
      </c>
      <c r="AF74" s="318" t="s">
        <v>271</v>
      </c>
      <c r="AG74" s="318" t="s">
        <v>271</v>
      </c>
      <c r="AH74" s="318" t="s">
        <v>271</v>
      </c>
      <c r="AI74" s="318" t="s">
        <v>271</v>
      </c>
      <c r="AJ74" s="318" t="s">
        <v>271</v>
      </c>
      <c r="AK74" s="318" t="s">
        <v>271</v>
      </c>
      <c r="AL74" s="318" t="s">
        <v>271</v>
      </c>
      <c r="AM74" s="318" t="s">
        <v>271</v>
      </c>
      <c r="AN74" s="318" t="s">
        <v>271</v>
      </c>
      <c r="AO74" s="318" t="s">
        <v>271</v>
      </c>
      <c r="AP74" s="318" t="s">
        <v>271</v>
      </c>
      <c r="AQ74" s="318" t="s">
        <v>271</v>
      </c>
      <c r="AR74" s="318" t="s">
        <v>271</v>
      </c>
      <c r="AS74" s="318" t="s">
        <v>271</v>
      </c>
      <c r="AT74" s="318" t="s">
        <v>271</v>
      </c>
      <c r="AU74" s="318" t="s">
        <v>271</v>
      </c>
      <c r="AV74" s="318" t="s">
        <v>271</v>
      </c>
      <c r="AW74" s="318" t="s">
        <v>271</v>
      </c>
      <c r="AX74" s="318" t="s">
        <v>271</v>
      </c>
      <c r="AY74" s="318" t="s">
        <v>271</v>
      </c>
      <c r="AZ74" s="318" t="s">
        <v>271</v>
      </c>
    </row>
    <row r="75" spans="1:52" s="319" customFormat="1" ht="11.25" x14ac:dyDescent="0.2">
      <c r="A75" s="320" t="s">
        <v>271</v>
      </c>
      <c r="B75" s="322" t="s">
        <v>271</v>
      </c>
      <c r="C75" s="320" t="s">
        <v>271</v>
      </c>
      <c r="D75" s="320" t="s">
        <v>306</v>
      </c>
      <c r="E75" s="318">
        <v>8</v>
      </c>
      <c r="F75" s="318">
        <v>8</v>
      </c>
      <c r="G75" s="318">
        <v>0</v>
      </c>
      <c r="H75" s="318">
        <v>0</v>
      </c>
      <c r="I75" s="318">
        <v>0</v>
      </c>
      <c r="J75" s="318">
        <v>0</v>
      </c>
      <c r="K75" s="318">
        <v>0</v>
      </c>
      <c r="L75" s="318">
        <v>0</v>
      </c>
      <c r="M75" s="318">
        <v>0</v>
      </c>
      <c r="N75" s="318">
        <v>0</v>
      </c>
      <c r="O75" s="318">
        <v>0</v>
      </c>
      <c r="P75" s="318">
        <v>0</v>
      </c>
      <c r="Q75" s="318">
        <v>0</v>
      </c>
      <c r="R75" s="318">
        <v>0</v>
      </c>
      <c r="S75" s="318">
        <v>0</v>
      </c>
      <c r="T75" s="318">
        <v>0</v>
      </c>
      <c r="U75" s="318">
        <v>0</v>
      </c>
      <c r="V75" s="318">
        <v>0</v>
      </c>
      <c r="W75" s="318">
        <v>0</v>
      </c>
      <c r="X75" s="318" t="s">
        <v>271</v>
      </c>
      <c r="Y75" s="318" t="s">
        <v>271</v>
      </c>
      <c r="Z75" s="318" t="s">
        <v>271</v>
      </c>
      <c r="AA75" s="318" t="s">
        <v>271</v>
      </c>
      <c r="AB75" s="318" t="s">
        <v>271</v>
      </c>
      <c r="AC75" s="318" t="s">
        <v>271</v>
      </c>
      <c r="AD75" s="318" t="s">
        <v>271</v>
      </c>
      <c r="AE75" s="318" t="s">
        <v>271</v>
      </c>
      <c r="AF75" s="318" t="s">
        <v>271</v>
      </c>
      <c r="AG75" s="318" t="s">
        <v>271</v>
      </c>
      <c r="AH75" s="318" t="s">
        <v>271</v>
      </c>
      <c r="AI75" s="318" t="s">
        <v>271</v>
      </c>
      <c r="AJ75" s="318" t="s">
        <v>271</v>
      </c>
      <c r="AK75" s="318" t="s">
        <v>271</v>
      </c>
      <c r="AL75" s="318" t="s">
        <v>271</v>
      </c>
      <c r="AM75" s="318" t="s">
        <v>271</v>
      </c>
      <c r="AN75" s="318" t="s">
        <v>271</v>
      </c>
      <c r="AO75" s="318" t="s">
        <v>271</v>
      </c>
      <c r="AP75" s="318" t="s">
        <v>271</v>
      </c>
      <c r="AQ75" s="318" t="s">
        <v>271</v>
      </c>
      <c r="AR75" s="318" t="s">
        <v>271</v>
      </c>
      <c r="AS75" s="318" t="s">
        <v>271</v>
      </c>
      <c r="AT75" s="318" t="s">
        <v>271</v>
      </c>
      <c r="AU75" s="318" t="s">
        <v>271</v>
      </c>
      <c r="AV75" s="318" t="s">
        <v>271</v>
      </c>
      <c r="AW75" s="318" t="s">
        <v>271</v>
      </c>
      <c r="AX75" s="318" t="s">
        <v>271</v>
      </c>
      <c r="AY75" s="318" t="s">
        <v>271</v>
      </c>
      <c r="AZ75" s="318" t="s">
        <v>271</v>
      </c>
    </row>
    <row r="76" spans="1:52" s="319" customFormat="1" ht="11.25" x14ac:dyDescent="0.2">
      <c r="A76" s="320" t="s">
        <v>271</v>
      </c>
      <c r="B76" s="322" t="s">
        <v>271</v>
      </c>
      <c r="C76" s="320" t="s">
        <v>271</v>
      </c>
      <c r="D76" s="320" t="s">
        <v>307</v>
      </c>
      <c r="E76" s="318">
        <v>0</v>
      </c>
      <c r="F76" s="318">
        <v>0</v>
      </c>
      <c r="G76" s="318">
        <v>0</v>
      </c>
      <c r="H76" s="318">
        <v>0</v>
      </c>
      <c r="I76" s="318">
        <v>0</v>
      </c>
      <c r="J76" s="318">
        <v>0</v>
      </c>
      <c r="K76" s="318">
        <v>0</v>
      </c>
      <c r="L76" s="318">
        <v>0</v>
      </c>
      <c r="M76" s="318">
        <v>0</v>
      </c>
      <c r="N76" s="318">
        <v>0</v>
      </c>
      <c r="O76" s="318">
        <v>0</v>
      </c>
      <c r="P76" s="318">
        <v>0</v>
      </c>
      <c r="Q76" s="318">
        <v>0</v>
      </c>
      <c r="R76" s="318">
        <v>0</v>
      </c>
      <c r="S76" s="318">
        <v>0</v>
      </c>
      <c r="T76" s="318">
        <v>0</v>
      </c>
      <c r="U76" s="318">
        <v>0</v>
      </c>
      <c r="V76" s="318">
        <v>0</v>
      </c>
      <c r="W76" s="318">
        <v>0</v>
      </c>
      <c r="X76" s="318" t="s">
        <v>271</v>
      </c>
      <c r="Y76" s="318" t="s">
        <v>271</v>
      </c>
      <c r="Z76" s="318" t="s">
        <v>271</v>
      </c>
      <c r="AA76" s="318" t="s">
        <v>271</v>
      </c>
      <c r="AB76" s="318" t="s">
        <v>271</v>
      </c>
      <c r="AC76" s="318" t="s">
        <v>271</v>
      </c>
      <c r="AD76" s="318" t="s">
        <v>271</v>
      </c>
      <c r="AE76" s="318" t="s">
        <v>271</v>
      </c>
      <c r="AF76" s="318" t="s">
        <v>271</v>
      </c>
      <c r="AG76" s="318" t="s">
        <v>271</v>
      </c>
      <c r="AH76" s="318" t="s">
        <v>271</v>
      </c>
      <c r="AI76" s="318" t="s">
        <v>271</v>
      </c>
      <c r="AJ76" s="318" t="s">
        <v>271</v>
      </c>
      <c r="AK76" s="318" t="s">
        <v>271</v>
      </c>
      <c r="AL76" s="318" t="s">
        <v>271</v>
      </c>
      <c r="AM76" s="318" t="s">
        <v>271</v>
      </c>
      <c r="AN76" s="318" t="s">
        <v>271</v>
      </c>
      <c r="AO76" s="318" t="s">
        <v>271</v>
      </c>
      <c r="AP76" s="318" t="s">
        <v>271</v>
      </c>
      <c r="AQ76" s="318" t="s">
        <v>271</v>
      </c>
      <c r="AR76" s="318" t="s">
        <v>271</v>
      </c>
      <c r="AS76" s="318" t="s">
        <v>271</v>
      </c>
      <c r="AT76" s="318" t="s">
        <v>271</v>
      </c>
      <c r="AU76" s="318" t="s">
        <v>271</v>
      </c>
      <c r="AV76" s="318" t="s">
        <v>271</v>
      </c>
      <c r="AW76" s="318" t="s">
        <v>271</v>
      </c>
      <c r="AX76" s="318" t="s">
        <v>271</v>
      </c>
      <c r="AY76" s="318" t="s">
        <v>271</v>
      </c>
      <c r="AZ76" s="318" t="s">
        <v>271</v>
      </c>
    </row>
    <row r="77" spans="1:52" s="319" customFormat="1" ht="11.25" x14ac:dyDescent="0.2">
      <c r="A77" s="320" t="s">
        <v>271</v>
      </c>
      <c r="B77" s="322" t="s">
        <v>271</v>
      </c>
      <c r="C77" s="320" t="s">
        <v>271</v>
      </c>
      <c r="D77" s="320" t="s">
        <v>308</v>
      </c>
      <c r="E77" s="318">
        <v>0</v>
      </c>
      <c r="F77" s="318">
        <v>0</v>
      </c>
      <c r="G77" s="318">
        <v>0</v>
      </c>
      <c r="H77" s="318">
        <v>0</v>
      </c>
      <c r="I77" s="318">
        <v>0</v>
      </c>
      <c r="J77" s="318">
        <v>0</v>
      </c>
      <c r="K77" s="318">
        <v>0</v>
      </c>
      <c r="L77" s="318">
        <v>0</v>
      </c>
      <c r="M77" s="318">
        <v>0</v>
      </c>
      <c r="N77" s="318">
        <v>0</v>
      </c>
      <c r="O77" s="318">
        <v>0</v>
      </c>
      <c r="P77" s="318">
        <v>0</v>
      </c>
      <c r="Q77" s="318">
        <v>0</v>
      </c>
      <c r="R77" s="318">
        <v>0</v>
      </c>
      <c r="S77" s="318">
        <v>0</v>
      </c>
      <c r="T77" s="318">
        <v>0</v>
      </c>
      <c r="U77" s="318">
        <v>0</v>
      </c>
      <c r="V77" s="318">
        <v>0</v>
      </c>
      <c r="W77" s="318">
        <v>0</v>
      </c>
      <c r="X77" s="318" t="s">
        <v>271</v>
      </c>
      <c r="Y77" s="318" t="s">
        <v>271</v>
      </c>
      <c r="Z77" s="318" t="s">
        <v>271</v>
      </c>
      <c r="AA77" s="318" t="s">
        <v>271</v>
      </c>
      <c r="AB77" s="318" t="s">
        <v>271</v>
      </c>
      <c r="AC77" s="318" t="s">
        <v>271</v>
      </c>
      <c r="AD77" s="318" t="s">
        <v>271</v>
      </c>
      <c r="AE77" s="318" t="s">
        <v>271</v>
      </c>
      <c r="AF77" s="318" t="s">
        <v>271</v>
      </c>
      <c r="AG77" s="318" t="s">
        <v>271</v>
      </c>
      <c r="AH77" s="318" t="s">
        <v>271</v>
      </c>
      <c r="AI77" s="318" t="s">
        <v>271</v>
      </c>
      <c r="AJ77" s="318" t="s">
        <v>271</v>
      </c>
      <c r="AK77" s="318" t="s">
        <v>271</v>
      </c>
      <c r="AL77" s="318" t="s">
        <v>271</v>
      </c>
      <c r="AM77" s="318" t="s">
        <v>271</v>
      </c>
      <c r="AN77" s="318" t="s">
        <v>271</v>
      </c>
      <c r="AO77" s="318" t="s">
        <v>271</v>
      </c>
      <c r="AP77" s="318" t="s">
        <v>271</v>
      </c>
      <c r="AQ77" s="318" t="s">
        <v>271</v>
      </c>
      <c r="AR77" s="318" t="s">
        <v>271</v>
      </c>
      <c r="AS77" s="318" t="s">
        <v>271</v>
      </c>
      <c r="AT77" s="318" t="s">
        <v>271</v>
      </c>
      <c r="AU77" s="318" t="s">
        <v>271</v>
      </c>
      <c r="AV77" s="318" t="s">
        <v>271</v>
      </c>
      <c r="AW77" s="318" t="s">
        <v>271</v>
      </c>
      <c r="AX77" s="318" t="s">
        <v>271</v>
      </c>
      <c r="AY77" s="318" t="s">
        <v>271</v>
      </c>
      <c r="AZ77" s="318" t="s">
        <v>271</v>
      </c>
    </row>
    <row r="78" spans="1:52" s="319" customFormat="1" ht="11.25" x14ac:dyDescent="0.2">
      <c r="A78" s="320" t="s">
        <v>271</v>
      </c>
      <c r="B78" s="322" t="s">
        <v>271</v>
      </c>
      <c r="C78" s="320" t="s">
        <v>271</v>
      </c>
      <c r="D78" s="320" t="s">
        <v>309</v>
      </c>
      <c r="E78" s="318">
        <v>0</v>
      </c>
      <c r="F78" s="318">
        <v>0</v>
      </c>
      <c r="G78" s="318">
        <v>0</v>
      </c>
      <c r="H78" s="318">
        <v>0</v>
      </c>
      <c r="I78" s="318">
        <v>0</v>
      </c>
      <c r="J78" s="318">
        <v>0</v>
      </c>
      <c r="K78" s="318">
        <v>0</v>
      </c>
      <c r="L78" s="318">
        <v>0</v>
      </c>
      <c r="M78" s="318">
        <v>0</v>
      </c>
      <c r="N78" s="318">
        <v>0</v>
      </c>
      <c r="O78" s="318">
        <v>0</v>
      </c>
      <c r="P78" s="318">
        <v>0</v>
      </c>
      <c r="Q78" s="318">
        <v>0</v>
      </c>
      <c r="R78" s="318">
        <v>0</v>
      </c>
      <c r="S78" s="318">
        <v>0</v>
      </c>
      <c r="T78" s="318">
        <v>0</v>
      </c>
      <c r="U78" s="318">
        <v>0</v>
      </c>
      <c r="V78" s="318">
        <v>0</v>
      </c>
      <c r="W78" s="318">
        <v>0</v>
      </c>
      <c r="X78" s="318" t="s">
        <v>271</v>
      </c>
      <c r="Y78" s="318" t="s">
        <v>271</v>
      </c>
      <c r="Z78" s="318" t="s">
        <v>271</v>
      </c>
      <c r="AA78" s="318" t="s">
        <v>271</v>
      </c>
      <c r="AB78" s="318" t="s">
        <v>271</v>
      </c>
      <c r="AC78" s="318" t="s">
        <v>271</v>
      </c>
      <c r="AD78" s="318" t="s">
        <v>271</v>
      </c>
      <c r="AE78" s="318" t="s">
        <v>271</v>
      </c>
      <c r="AF78" s="318" t="s">
        <v>271</v>
      </c>
      <c r="AG78" s="318" t="s">
        <v>271</v>
      </c>
      <c r="AH78" s="318" t="s">
        <v>271</v>
      </c>
      <c r="AI78" s="318" t="s">
        <v>271</v>
      </c>
      <c r="AJ78" s="318" t="s">
        <v>271</v>
      </c>
      <c r="AK78" s="318" t="s">
        <v>271</v>
      </c>
      <c r="AL78" s="318" t="s">
        <v>271</v>
      </c>
      <c r="AM78" s="318" t="s">
        <v>271</v>
      </c>
      <c r="AN78" s="318" t="s">
        <v>271</v>
      </c>
      <c r="AO78" s="318" t="s">
        <v>271</v>
      </c>
      <c r="AP78" s="318" t="s">
        <v>271</v>
      </c>
      <c r="AQ78" s="318" t="s">
        <v>271</v>
      </c>
      <c r="AR78" s="318" t="s">
        <v>271</v>
      </c>
      <c r="AS78" s="318" t="s">
        <v>271</v>
      </c>
      <c r="AT78" s="318" t="s">
        <v>271</v>
      </c>
      <c r="AU78" s="318" t="s">
        <v>271</v>
      </c>
      <c r="AV78" s="318" t="s">
        <v>271</v>
      </c>
      <c r="AW78" s="318" t="s">
        <v>271</v>
      </c>
      <c r="AX78" s="318" t="s">
        <v>271</v>
      </c>
      <c r="AY78" s="318" t="s">
        <v>271</v>
      </c>
      <c r="AZ78" s="318" t="s">
        <v>271</v>
      </c>
    </row>
    <row r="79" spans="1:52" s="319" customFormat="1" ht="11.25" x14ac:dyDescent="0.2">
      <c r="A79" s="320" t="s">
        <v>271</v>
      </c>
      <c r="B79" s="322" t="s">
        <v>271</v>
      </c>
      <c r="C79" s="320" t="s">
        <v>271</v>
      </c>
      <c r="D79" s="320" t="s">
        <v>310</v>
      </c>
      <c r="E79" s="318">
        <v>0</v>
      </c>
      <c r="F79" s="318">
        <v>0</v>
      </c>
      <c r="G79" s="318">
        <v>0</v>
      </c>
      <c r="H79" s="318">
        <v>0</v>
      </c>
      <c r="I79" s="318">
        <v>0</v>
      </c>
      <c r="J79" s="318">
        <v>0</v>
      </c>
      <c r="K79" s="318">
        <v>0</v>
      </c>
      <c r="L79" s="318">
        <v>0</v>
      </c>
      <c r="M79" s="318">
        <v>0</v>
      </c>
      <c r="N79" s="318">
        <v>0</v>
      </c>
      <c r="O79" s="318">
        <v>0</v>
      </c>
      <c r="P79" s="318">
        <v>0</v>
      </c>
      <c r="Q79" s="318">
        <v>0</v>
      </c>
      <c r="R79" s="318">
        <v>0</v>
      </c>
      <c r="S79" s="318">
        <v>0</v>
      </c>
      <c r="T79" s="318">
        <v>0</v>
      </c>
      <c r="U79" s="318">
        <v>0</v>
      </c>
      <c r="V79" s="318">
        <v>0</v>
      </c>
      <c r="W79" s="318">
        <v>0</v>
      </c>
      <c r="X79" s="318" t="s">
        <v>271</v>
      </c>
      <c r="Y79" s="318" t="s">
        <v>271</v>
      </c>
      <c r="Z79" s="318" t="s">
        <v>271</v>
      </c>
      <c r="AA79" s="318" t="s">
        <v>271</v>
      </c>
      <c r="AB79" s="318" t="s">
        <v>271</v>
      </c>
      <c r="AC79" s="318" t="s">
        <v>271</v>
      </c>
      <c r="AD79" s="318" t="s">
        <v>271</v>
      </c>
      <c r="AE79" s="318" t="s">
        <v>271</v>
      </c>
      <c r="AF79" s="318" t="s">
        <v>271</v>
      </c>
      <c r="AG79" s="318" t="s">
        <v>271</v>
      </c>
      <c r="AH79" s="318" t="s">
        <v>271</v>
      </c>
      <c r="AI79" s="318" t="s">
        <v>271</v>
      </c>
      <c r="AJ79" s="318" t="s">
        <v>271</v>
      </c>
      <c r="AK79" s="318" t="s">
        <v>271</v>
      </c>
      <c r="AL79" s="318" t="s">
        <v>271</v>
      </c>
      <c r="AM79" s="318" t="s">
        <v>271</v>
      </c>
      <c r="AN79" s="318" t="s">
        <v>271</v>
      </c>
      <c r="AO79" s="318" t="s">
        <v>271</v>
      </c>
      <c r="AP79" s="318" t="s">
        <v>271</v>
      </c>
      <c r="AQ79" s="318" t="s">
        <v>271</v>
      </c>
      <c r="AR79" s="318" t="s">
        <v>271</v>
      </c>
      <c r="AS79" s="318" t="s">
        <v>271</v>
      </c>
      <c r="AT79" s="318" t="s">
        <v>271</v>
      </c>
      <c r="AU79" s="318" t="s">
        <v>271</v>
      </c>
      <c r="AV79" s="318" t="s">
        <v>271</v>
      </c>
      <c r="AW79" s="318" t="s">
        <v>271</v>
      </c>
      <c r="AX79" s="318" t="s">
        <v>271</v>
      </c>
      <c r="AY79" s="318" t="s">
        <v>271</v>
      </c>
      <c r="AZ79" s="318" t="s">
        <v>271</v>
      </c>
    </row>
    <row r="80" spans="1:52" s="319" customFormat="1" ht="11.25" x14ac:dyDescent="0.2">
      <c r="A80" s="320" t="s">
        <v>271</v>
      </c>
      <c r="B80" s="322" t="s">
        <v>271</v>
      </c>
      <c r="C80" s="320" t="s">
        <v>271</v>
      </c>
      <c r="D80" s="320" t="s">
        <v>311</v>
      </c>
      <c r="E80" s="318">
        <v>0</v>
      </c>
      <c r="F80" s="318">
        <v>0</v>
      </c>
      <c r="G80" s="318">
        <v>0</v>
      </c>
      <c r="H80" s="318">
        <v>0</v>
      </c>
      <c r="I80" s="318">
        <v>0</v>
      </c>
      <c r="J80" s="318">
        <v>0</v>
      </c>
      <c r="K80" s="318">
        <v>0</v>
      </c>
      <c r="L80" s="318">
        <v>0</v>
      </c>
      <c r="M80" s="318">
        <v>0</v>
      </c>
      <c r="N80" s="318">
        <v>0</v>
      </c>
      <c r="O80" s="318">
        <v>0</v>
      </c>
      <c r="P80" s="318">
        <v>0</v>
      </c>
      <c r="Q80" s="318">
        <v>0</v>
      </c>
      <c r="R80" s="318">
        <v>0</v>
      </c>
      <c r="S80" s="318">
        <v>0</v>
      </c>
      <c r="T80" s="318">
        <v>0</v>
      </c>
      <c r="U80" s="318">
        <v>0</v>
      </c>
      <c r="V80" s="318">
        <v>0</v>
      </c>
      <c r="W80" s="318">
        <v>0</v>
      </c>
      <c r="X80" s="318" t="s">
        <v>271</v>
      </c>
      <c r="Y80" s="318" t="s">
        <v>271</v>
      </c>
      <c r="Z80" s="318" t="s">
        <v>271</v>
      </c>
      <c r="AA80" s="318" t="s">
        <v>271</v>
      </c>
      <c r="AB80" s="318" t="s">
        <v>271</v>
      </c>
      <c r="AC80" s="318" t="s">
        <v>271</v>
      </c>
      <c r="AD80" s="318" t="s">
        <v>271</v>
      </c>
      <c r="AE80" s="318" t="s">
        <v>271</v>
      </c>
      <c r="AF80" s="318" t="s">
        <v>271</v>
      </c>
      <c r="AG80" s="318" t="s">
        <v>271</v>
      </c>
      <c r="AH80" s="318" t="s">
        <v>271</v>
      </c>
      <c r="AI80" s="318" t="s">
        <v>271</v>
      </c>
      <c r="AJ80" s="318" t="s">
        <v>271</v>
      </c>
      <c r="AK80" s="318" t="s">
        <v>271</v>
      </c>
      <c r="AL80" s="318" t="s">
        <v>271</v>
      </c>
      <c r="AM80" s="318" t="s">
        <v>271</v>
      </c>
      <c r="AN80" s="318" t="s">
        <v>271</v>
      </c>
      <c r="AO80" s="318" t="s">
        <v>271</v>
      </c>
      <c r="AP80" s="318" t="s">
        <v>271</v>
      </c>
      <c r="AQ80" s="318" t="s">
        <v>271</v>
      </c>
      <c r="AR80" s="318" t="s">
        <v>271</v>
      </c>
      <c r="AS80" s="318" t="s">
        <v>271</v>
      </c>
      <c r="AT80" s="318" t="s">
        <v>271</v>
      </c>
      <c r="AU80" s="318" t="s">
        <v>271</v>
      </c>
      <c r="AV80" s="318" t="s">
        <v>271</v>
      </c>
      <c r="AW80" s="318" t="s">
        <v>271</v>
      </c>
      <c r="AX80" s="318" t="s">
        <v>271</v>
      </c>
      <c r="AY80" s="318" t="s">
        <v>271</v>
      </c>
      <c r="AZ80" s="318" t="s">
        <v>271</v>
      </c>
    </row>
    <row r="81" spans="1:52" s="319" customFormat="1" ht="11.25" x14ac:dyDescent="0.2">
      <c r="A81" s="320" t="s">
        <v>271</v>
      </c>
      <c r="B81" s="322" t="s">
        <v>271</v>
      </c>
      <c r="C81" s="320" t="s">
        <v>271</v>
      </c>
      <c r="D81" s="320" t="s">
        <v>312</v>
      </c>
      <c r="E81" s="318">
        <v>8</v>
      </c>
      <c r="F81" s="318">
        <v>8</v>
      </c>
      <c r="G81" s="318">
        <v>0</v>
      </c>
      <c r="H81" s="318">
        <v>0</v>
      </c>
      <c r="I81" s="318">
        <v>0</v>
      </c>
      <c r="J81" s="318">
        <v>0</v>
      </c>
      <c r="K81" s="318">
        <v>0</v>
      </c>
      <c r="L81" s="318">
        <v>0</v>
      </c>
      <c r="M81" s="318">
        <v>0</v>
      </c>
      <c r="N81" s="318">
        <v>0</v>
      </c>
      <c r="O81" s="318">
        <v>0</v>
      </c>
      <c r="P81" s="318">
        <v>0</v>
      </c>
      <c r="Q81" s="318">
        <v>0</v>
      </c>
      <c r="R81" s="318">
        <v>0</v>
      </c>
      <c r="S81" s="318">
        <v>0</v>
      </c>
      <c r="T81" s="318">
        <v>0.77</v>
      </c>
      <c r="U81" s="318">
        <v>0</v>
      </c>
      <c r="V81" s="318">
        <v>0</v>
      </c>
      <c r="W81" s="318">
        <v>-0.32400000000000001</v>
      </c>
      <c r="X81" s="318" t="s">
        <v>271</v>
      </c>
      <c r="Y81" s="318" t="s">
        <v>271</v>
      </c>
      <c r="Z81" s="318" t="s">
        <v>271</v>
      </c>
      <c r="AA81" s="318" t="s">
        <v>271</v>
      </c>
      <c r="AB81" s="318" t="s">
        <v>271</v>
      </c>
      <c r="AC81" s="318" t="s">
        <v>271</v>
      </c>
      <c r="AD81" s="318" t="s">
        <v>271</v>
      </c>
      <c r="AE81" s="318" t="s">
        <v>271</v>
      </c>
      <c r="AF81" s="318" t="s">
        <v>271</v>
      </c>
      <c r="AG81" s="318" t="s">
        <v>271</v>
      </c>
      <c r="AH81" s="318" t="s">
        <v>271</v>
      </c>
      <c r="AI81" s="318" t="s">
        <v>271</v>
      </c>
      <c r="AJ81" s="318" t="s">
        <v>271</v>
      </c>
      <c r="AK81" s="318" t="s">
        <v>271</v>
      </c>
      <c r="AL81" s="318" t="s">
        <v>271</v>
      </c>
      <c r="AM81" s="318" t="s">
        <v>271</v>
      </c>
      <c r="AN81" s="318" t="s">
        <v>271</v>
      </c>
      <c r="AO81" s="318" t="s">
        <v>271</v>
      </c>
      <c r="AP81" s="318" t="s">
        <v>271</v>
      </c>
      <c r="AQ81" s="318" t="s">
        <v>271</v>
      </c>
      <c r="AR81" s="318" t="s">
        <v>271</v>
      </c>
      <c r="AS81" s="318" t="s">
        <v>271</v>
      </c>
      <c r="AT81" s="318" t="s">
        <v>271</v>
      </c>
      <c r="AU81" s="318" t="s">
        <v>271</v>
      </c>
      <c r="AV81" s="318" t="s">
        <v>271</v>
      </c>
      <c r="AW81" s="318" t="s">
        <v>271</v>
      </c>
      <c r="AX81" s="318" t="s">
        <v>271</v>
      </c>
      <c r="AY81" s="318" t="s">
        <v>271</v>
      </c>
      <c r="AZ81" s="318" t="s">
        <v>271</v>
      </c>
    </row>
    <row r="82" spans="1:52" s="319" customFormat="1" ht="11.25" x14ac:dyDescent="0.2">
      <c r="A82" s="320" t="s">
        <v>271</v>
      </c>
      <c r="B82" s="322" t="s">
        <v>271</v>
      </c>
      <c r="C82" s="320" t="s">
        <v>271</v>
      </c>
      <c r="D82" s="320" t="s">
        <v>313</v>
      </c>
      <c r="E82" s="318">
        <v>0</v>
      </c>
      <c r="F82" s="318">
        <v>0</v>
      </c>
      <c r="G82" s="318">
        <v>0</v>
      </c>
      <c r="H82" s="318">
        <v>0</v>
      </c>
      <c r="I82" s="318">
        <v>0</v>
      </c>
      <c r="J82" s="318">
        <v>0</v>
      </c>
      <c r="K82" s="318">
        <v>0</v>
      </c>
      <c r="L82" s="318">
        <v>0</v>
      </c>
      <c r="M82" s="318">
        <v>0</v>
      </c>
      <c r="N82" s="318">
        <v>0</v>
      </c>
      <c r="O82" s="318">
        <v>0</v>
      </c>
      <c r="P82" s="318">
        <v>0</v>
      </c>
      <c r="Q82" s="318">
        <v>0</v>
      </c>
      <c r="R82" s="318">
        <v>0</v>
      </c>
      <c r="S82" s="318">
        <v>0</v>
      </c>
      <c r="T82" s="318">
        <v>0</v>
      </c>
      <c r="U82" s="318">
        <v>0</v>
      </c>
      <c r="V82" s="318">
        <v>0</v>
      </c>
      <c r="W82" s="318">
        <v>0</v>
      </c>
      <c r="X82" s="318" t="s">
        <v>271</v>
      </c>
      <c r="Y82" s="318" t="s">
        <v>271</v>
      </c>
      <c r="Z82" s="318" t="s">
        <v>271</v>
      </c>
      <c r="AA82" s="318" t="s">
        <v>271</v>
      </c>
      <c r="AB82" s="318" t="s">
        <v>271</v>
      </c>
      <c r="AC82" s="318" t="s">
        <v>271</v>
      </c>
      <c r="AD82" s="318" t="s">
        <v>271</v>
      </c>
      <c r="AE82" s="318" t="s">
        <v>271</v>
      </c>
      <c r="AF82" s="318" t="s">
        <v>271</v>
      </c>
      <c r="AG82" s="318" t="s">
        <v>271</v>
      </c>
      <c r="AH82" s="318" t="s">
        <v>271</v>
      </c>
      <c r="AI82" s="318" t="s">
        <v>271</v>
      </c>
      <c r="AJ82" s="318" t="s">
        <v>271</v>
      </c>
      <c r="AK82" s="318" t="s">
        <v>271</v>
      </c>
      <c r="AL82" s="318" t="s">
        <v>271</v>
      </c>
      <c r="AM82" s="318" t="s">
        <v>271</v>
      </c>
      <c r="AN82" s="318" t="s">
        <v>271</v>
      </c>
      <c r="AO82" s="318" t="s">
        <v>271</v>
      </c>
      <c r="AP82" s="318" t="s">
        <v>271</v>
      </c>
      <c r="AQ82" s="318" t="s">
        <v>271</v>
      </c>
      <c r="AR82" s="318" t="s">
        <v>271</v>
      </c>
      <c r="AS82" s="318" t="s">
        <v>271</v>
      </c>
      <c r="AT82" s="318" t="s">
        <v>271</v>
      </c>
      <c r="AU82" s="318" t="s">
        <v>271</v>
      </c>
      <c r="AV82" s="318" t="s">
        <v>271</v>
      </c>
      <c r="AW82" s="318" t="s">
        <v>271</v>
      </c>
      <c r="AX82" s="318" t="s">
        <v>271</v>
      </c>
      <c r="AY82" s="318" t="s">
        <v>271</v>
      </c>
      <c r="AZ82" s="318" t="s">
        <v>271</v>
      </c>
    </row>
    <row r="83" spans="1:52" s="319" customFormat="1" ht="11.25" x14ac:dyDescent="0.2">
      <c r="A83" s="320" t="s">
        <v>271</v>
      </c>
      <c r="B83" s="322" t="s">
        <v>271</v>
      </c>
      <c r="C83" s="320" t="s">
        <v>271</v>
      </c>
      <c r="D83" s="320" t="s">
        <v>271</v>
      </c>
      <c r="E83" s="318" t="s">
        <v>271</v>
      </c>
      <c r="F83" s="318" t="s">
        <v>271</v>
      </c>
      <c r="G83" s="318" t="s">
        <v>271</v>
      </c>
      <c r="H83" s="318" t="s">
        <v>271</v>
      </c>
      <c r="I83" s="318" t="s">
        <v>271</v>
      </c>
      <c r="J83" s="318" t="s">
        <v>271</v>
      </c>
      <c r="K83" s="318" t="s">
        <v>271</v>
      </c>
      <c r="L83" s="318" t="s">
        <v>271</v>
      </c>
      <c r="M83" s="318" t="s">
        <v>271</v>
      </c>
      <c r="N83" s="318" t="s">
        <v>271</v>
      </c>
      <c r="O83" s="318" t="s">
        <v>271</v>
      </c>
      <c r="P83" s="318" t="s">
        <v>271</v>
      </c>
      <c r="Q83" s="318" t="s">
        <v>271</v>
      </c>
      <c r="R83" s="318" t="s">
        <v>271</v>
      </c>
      <c r="S83" s="318" t="s">
        <v>271</v>
      </c>
      <c r="T83" s="318" t="s">
        <v>271</v>
      </c>
      <c r="U83" s="318" t="s">
        <v>271</v>
      </c>
      <c r="V83" s="318" t="s">
        <v>271</v>
      </c>
      <c r="W83" s="318" t="s">
        <v>271</v>
      </c>
      <c r="X83" s="318" t="s">
        <v>271</v>
      </c>
      <c r="Y83" s="318" t="s">
        <v>271</v>
      </c>
      <c r="Z83" s="318" t="s">
        <v>271</v>
      </c>
      <c r="AA83" s="318" t="s">
        <v>271</v>
      </c>
      <c r="AB83" s="318" t="s">
        <v>271</v>
      </c>
      <c r="AC83" s="318" t="s">
        <v>271</v>
      </c>
      <c r="AD83" s="318" t="s">
        <v>271</v>
      </c>
      <c r="AE83" s="318" t="s">
        <v>271</v>
      </c>
      <c r="AF83" s="318" t="s">
        <v>271</v>
      </c>
      <c r="AG83" s="318" t="s">
        <v>271</v>
      </c>
      <c r="AH83" s="318" t="s">
        <v>271</v>
      </c>
      <c r="AI83" s="318" t="s">
        <v>271</v>
      </c>
      <c r="AJ83" s="318" t="s">
        <v>271</v>
      </c>
      <c r="AK83" s="318" t="s">
        <v>271</v>
      </c>
      <c r="AL83" s="318" t="s">
        <v>271</v>
      </c>
      <c r="AM83" s="318" t="s">
        <v>271</v>
      </c>
      <c r="AN83" s="318" t="s">
        <v>271</v>
      </c>
      <c r="AO83" s="318" t="s">
        <v>271</v>
      </c>
      <c r="AP83" s="318" t="s">
        <v>271</v>
      </c>
      <c r="AQ83" s="318" t="s">
        <v>271</v>
      </c>
      <c r="AR83" s="318" t="s">
        <v>271</v>
      </c>
      <c r="AS83" s="318" t="s">
        <v>271</v>
      </c>
      <c r="AT83" s="318" t="s">
        <v>271</v>
      </c>
      <c r="AU83" s="318" t="s">
        <v>271</v>
      </c>
      <c r="AV83" s="318" t="s">
        <v>271</v>
      </c>
      <c r="AW83" s="318" t="s">
        <v>271</v>
      </c>
      <c r="AX83" s="318" t="s">
        <v>271</v>
      </c>
      <c r="AY83" s="318" t="s">
        <v>271</v>
      </c>
      <c r="AZ83" s="318" t="s">
        <v>271</v>
      </c>
    </row>
    <row r="84" spans="1:52" s="319" customFormat="1" ht="11.25" x14ac:dyDescent="0.2">
      <c r="A84" s="320" t="s">
        <v>271</v>
      </c>
      <c r="B84" s="322" t="s">
        <v>271</v>
      </c>
      <c r="C84" s="320" t="s">
        <v>271</v>
      </c>
      <c r="D84" s="320" t="s">
        <v>314</v>
      </c>
      <c r="E84" s="318">
        <v>738</v>
      </c>
      <c r="F84" s="318">
        <v>708</v>
      </c>
      <c r="G84" s="318">
        <v>0</v>
      </c>
      <c r="H84" s="318">
        <v>0</v>
      </c>
      <c r="I84" s="318">
        <v>0</v>
      </c>
      <c r="J84" s="318">
        <v>0</v>
      </c>
      <c r="K84" s="318">
        <v>0</v>
      </c>
      <c r="L84" s="318">
        <v>0</v>
      </c>
      <c r="M84" s="318">
        <v>0</v>
      </c>
      <c r="N84" s="318">
        <v>0</v>
      </c>
      <c r="O84" s="318">
        <v>0</v>
      </c>
      <c r="P84" s="318">
        <v>0</v>
      </c>
      <c r="Q84" s="318">
        <v>0</v>
      </c>
      <c r="R84" s="318">
        <v>0</v>
      </c>
      <c r="S84" s="318">
        <v>0</v>
      </c>
      <c r="T84" s="318">
        <v>60</v>
      </c>
      <c r="U84" s="318">
        <v>0</v>
      </c>
      <c r="V84" s="318">
        <v>0</v>
      </c>
      <c r="W84" s="318">
        <v>-30</v>
      </c>
      <c r="X84" s="318" t="s">
        <v>271</v>
      </c>
      <c r="Y84" s="318" t="s">
        <v>271</v>
      </c>
      <c r="Z84" s="318" t="s">
        <v>271</v>
      </c>
      <c r="AA84" s="318" t="s">
        <v>271</v>
      </c>
      <c r="AB84" s="318" t="s">
        <v>271</v>
      </c>
      <c r="AC84" s="318" t="s">
        <v>271</v>
      </c>
      <c r="AD84" s="318" t="s">
        <v>271</v>
      </c>
      <c r="AE84" s="318" t="s">
        <v>271</v>
      </c>
      <c r="AF84" s="318" t="s">
        <v>271</v>
      </c>
      <c r="AG84" s="318" t="s">
        <v>271</v>
      </c>
      <c r="AH84" s="318" t="s">
        <v>271</v>
      </c>
      <c r="AI84" s="318" t="s">
        <v>271</v>
      </c>
      <c r="AJ84" s="318" t="s">
        <v>271</v>
      </c>
      <c r="AK84" s="318" t="s">
        <v>271</v>
      </c>
      <c r="AL84" s="318" t="s">
        <v>271</v>
      </c>
      <c r="AM84" s="318" t="s">
        <v>271</v>
      </c>
      <c r="AN84" s="318" t="s">
        <v>271</v>
      </c>
      <c r="AO84" s="318" t="s">
        <v>271</v>
      </c>
      <c r="AP84" s="318" t="s">
        <v>271</v>
      </c>
      <c r="AQ84" s="318" t="s">
        <v>271</v>
      </c>
      <c r="AR84" s="318" t="s">
        <v>271</v>
      </c>
      <c r="AS84" s="318" t="s">
        <v>271</v>
      </c>
      <c r="AT84" s="318" t="s">
        <v>271</v>
      </c>
      <c r="AU84" s="318" t="s">
        <v>271</v>
      </c>
      <c r="AV84" s="318" t="s">
        <v>271</v>
      </c>
      <c r="AW84" s="318" t="s">
        <v>271</v>
      </c>
      <c r="AX84" s="318" t="s">
        <v>271</v>
      </c>
      <c r="AY84" s="318" t="s">
        <v>271</v>
      </c>
      <c r="AZ84" s="318" t="s">
        <v>271</v>
      </c>
    </row>
    <row r="85" spans="1:52" s="319" customFormat="1" ht="11.25" x14ac:dyDescent="0.2">
      <c r="A85" s="320" t="s">
        <v>271</v>
      </c>
      <c r="B85" s="322" t="s">
        <v>271</v>
      </c>
      <c r="C85" s="320" t="s">
        <v>271</v>
      </c>
      <c r="D85" s="320" t="s">
        <v>271</v>
      </c>
      <c r="E85" s="318" t="s">
        <v>271</v>
      </c>
      <c r="F85" s="318" t="s">
        <v>271</v>
      </c>
      <c r="G85" s="318" t="s">
        <v>271</v>
      </c>
      <c r="H85" s="318" t="s">
        <v>271</v>
      </c>
      <c r="I85" s="318" t="s">
        <v>271</v>
      </c>
      <c r="J85" s="318" t="s">
        <v>271</v>
      </c>
      <c r="K85" s="318" t="s">
        <v>271</v>
      </c>
      <c r="L85" s="318" t="s">
        <v>271</v>
      </c>
      <c r="M85" s="318" t="s">
        <v>271</v>
      </c>
      <c r="N85" s="318" t="s">
        <v>271</v>
      </c>
      <c r="O85" s="318" t="s">
        <v>271</v>
      </c>
      <c r="P85" s="318" t="s">
        <v>271</v>
      </c>
      <c r="Q85" s="318" t="s">
        <v>271</v>
      </c>
      <c r="R85" s="318" t="s">
        <v>271</v>
      </c>
      <c r="S85" s="318" t="s">
        <v>271</v>
      </c>
      <c r="T85" s="318" t="s">
        <v>271</v>
      </c>
      <c r="U85" s="318" t="s">
        <v>271</v>
      </c>
      <c r="V85" s="318" t="s">
        <v>271</v>
      </c>
      <c r="W85" s="318" t="s">
        <v>271</v>
      </c>
      <c r="X85" s="318" t="s">
        <v>271</v>
      </c>
      <c r="Y85" s="318" t="s">
        <v>271</v>
      </c>
      <c r="Z85" s="318" t="s">
        <v>271</v>
      </c>
      <c r="AA85" s="318" t="s">
        <v>271</v>
      </c>
      <c r="AB85" s="318" t="s">
        <v>271</v>
      </c>
      <c r="AC85" s="318" t="s">
        <v>271</v>
      </c>
      <c r="AD85" s="318" t="s">
        <v>271</v>
      </c>
      <c r="AE85" s="318" t="s">
        <v>271</v>
      </c>
      <c r="AF85" s="318" t="s">
        <v>271</v>
      </c>
      <c r="AG85" s="318" t="s">
        <v>271</v>
      </c>
      <c r="AH85" s="318" t="s">
        <v>271</v>
      </c>
      <c r="AI85" s="318" t="s">
        <v>271</v>
      </c>
      <c r="AJ85" s="318" t="s">
        <v>271</v>
      </c>
      <c r="AK85" s="318" t="s">
        <v>271</v>
      </c>
      <c r="AL85" s="318" t="s">
        <v>271</v>
      </c>
      <c r="AM85" s="318" t="s">
        <v>271</v>
      </c>
      <c r="AN85" s="318" t="s">
        <v>271</v>
      </c>
      <c r="AO85" s="318" t="s">
        <v>271</v>
      </c>
      <c r="AP85" s="318" t="s">
        <v>271</v>
      </c>
      <c r="AQ85" s="318" t="s">
        <v>271</v>
      </c>
      <c r="AR85" s="318" t="s">
        <v>271</v>
      </c>
      <c r="AS85" s="318" t="s">
        <v>271</v>
      </c>
      <c r="AT85" s="318" t="s">
        <v>271</v>
      </c>
      <c r="AU85" s="318" t="s">
        <v>271</v>
      </c>
      <c r="AV85" s="318" t="s">
        <v>271</v>
      </c>
      <c r="AW85" s="318" t="s">
        <v>271</v>
      </c>
      <c r="AX85" s="318" t="s">
        <v>271</v>
      </c>
      <c r="AY85" s="318" t="s">
        <v>271</v>
      </c>
      <c r="AZ85" s="318" t="s">
        <v>271</v>
      </c>
    </row>
    <row r="86" spans="1:52" s="319" customFormat="1" ht="11.25" x14ac:dyDescent="0.2">
      <c r="A86" s="315" t="s">
        <v>270</v>
      </c>
      <c r="B86" s="316" t="s">
        <v>271</v>
      </c>
      <c r="C86" s="315" t="s">
        <v>271</v>
      </c>
      <c r="D86" s="315" t="s">
        <v>271</v>
      </c>
      <c r="E86" s="317" t="s">
        <v>271</v>
      </c>
      <c r="F86" s="318" t="s">
        <v>271</v>
      </c>
      <c r="G86" s="318" t="s">
        <v>271</v>
      </c>
      <c r="H86" s="318" t="s">
        <v>271</v>
      </c>
      <c r="I86" s="318" t="s">
        <v>271</v>
      </c>
      <c r="J86" s="318" t="s">
        <v>271</v>
      </c>
      <c r="K86" s="318" t="s">
        <v>271</v>
      </c>
      <c r="L86" s="318" t="s">
        <v>271</v>
      </c>
      <c r="M86" s="318" t="s">
        <v>271</v>
      </c>
      <c r="N86" s="318" t="s">
        <v>271</v>
      </c>
      <c r="O86" s="318" t="s">
        <v>271</v>
      </c>
      <c r="P86" s="318" t="s">
        <v>271</v>
      </c>
      <c r="Q86" s="318" t="s">
        <v>271</v>
      </c>
      <c r="R86" s="318" t="s">
        <v>271</v>
      </c>
      <c r="S86" s="318" t="s">
        <v>271</v>
      </c>
      <c r="T86" s="318" t="s">
        <v>271</v>
      </c>
      <c r="U86" s="318" t="s">
        <v>271</v>
      </c>
      <c r="V86" s="318" t="s">
        <v>271</v>
      </c>
      <c r="W86" s="318" t="s">
        <v>271</v>
      </c>
      <c r="X86" s="318" t="s">
        <v>271</v>
      </c>
      <c r="Y86" s="318" t="s">
        <v>271</v>
      </c>
      <c r="Z86" s="318" t="s">
        <v>271</v>
      </c>
      <c r="AA86" s="318" t="s">
        <v>271</v>
      </c>
      <c r="AB86" s="318" t="s">
        <v>271</v>
      </c>
      <c r="AC86" s="318" t="s">
        <v>271</v>
      </c>
      <c r="AD86" s="318" t="s">
        <v>271</v>
      </c>
      <c r="AE86" s="318" t="s">
        <v>271</v>
      </c>
      <c r="AF86" s="318" t="s">
        <v>271</v>
      </c>
      <c r="AG86" s="318" t="s">
        <v>271</v>
      </c>
      <c r="AH86" s="318" t="s">
        <v>271</v>
      </c>
      <c r="AI86" s="318" t="s">
        <v>271</v>
      </c>
      <c r="AJ86" s="318" t="s">
        <v>271</v>
      </c>
      <c r="AK86" s="318" t="s">
        <v>271</v>
      </c>
      <c r="AL86" s="318" t="s">
        <v>271</v>
      </c>
      <c r="AM86" s="318" t="s">
        <v>271</v>
      </c>
      <c r="AN86" s="318" t="s">
        <v>271</v>
      </c>
      <c r="AO86" s="318" t="s">
        <v>271</v>
      </c>
      <c r="AP86" s="318" t="s">
        <v>271</v>
      </c>
      <c r="AQ86" s="318" t="s">
        <v>271</v>
      </c>
      <c r="AR86" s="318" t="s">
        <v>271</v>
      </c>
      <c r="AS86" s="318" t="s">
        <v>271</v>
      </c>
      <c r="AT86" s="318" t="s">
        <v>271</v>
      </c>
      <c r="AU86" s="318" t="s">
        <v>271</v>
      </c>
      <c r="AV86" s="318" t="s">
        <v>271</v>
      </c>
      <c r="AW86" s="318" t="s">
        <v>271</v>
      </c>
      <c r="AX86" s="318" t="s">
        <v>271</v>
      </c>
      <c r="AY86" s="318" t="s">
        <v>271</v>
      </c>
      <c r="AZ86" s="318" t="s">
        <v>271</v>
      </c>
    </row>
    <row r="87" spans="1:52" s="319" customFormat="1" ht="11.25" x14ac:dyDescent="0.2">
      <c r="A87" s="315" t="s">
        <v>315</v>
      </c>
      <c r="B87" s="316" t="s">
        <v>271</v>
      </c>
      <c r="C87" s="315" t="s">
        <v>271</v>
      </c>
      <c r="D87" s="315" t="s">
        <v>271</v>
      </c>
      <c r="E87" s="317" t="s">
        <v>271</v>
      </c>
      <c r="F87" s="318" t="s">
        <v>271</v>
      </c>
      <c r="G87" s="318" t="s">
        <v>271</v>
      </c>
      <c r="H87" s="318" t="s">
        <v>271</v>
      </c>
      <c r="I87" s="318" t="s">
        <v>271</v>
      </c>
      <c r="J87" s="318" t="s">
        <v>271</v>
      </c>
      <c r="K87" s="318" t="s">
        <v>271</v>
      </c>
      <c r="L87" s="318" t="s">
        <v>271</v>
      </c>
      <c r="M87" s="318" t="s">
        <v>271</v>
      </c>
      <c r="N87" s="318" t="s">
        <v>271</v>
      </c>
      <c r="O87" s="318" t="s">
        <v>271</v>
      </c>
      <c r="P87" s="318" t="s">
        <v>271</v>
      </c>
      <c r="Q87" s="318" t="s">
        <v>271</v>
      </c>
      <c r="R87" s="318" t="s">
        <v>271</v>
      </c>
      <c r="S87" s="318" t="s">
        <v>271</v>
      </c>
      <c r="T87" s="318" t="s">
        <v>271</v>
      </c>
      <c r="U87" s="318" t="s">
        <v>271</v>
      </c>
      <c r="V87" s="318" t="s">
        <v>271</v>
      </c>
      <c r="W87" s="318" t="s">
        <v>271</v>
      </c>
      <c r="X87" s="318" t="s">
        <v>271</v>
      </c>
      <c r="Y87" s="318" t="s">
        <v>271</v>
      </c>
      <c r="Z87" s="318" t="s">
        <v>271</v>
      </c>
      <c r="AA87" s="318" t="s">
        <v>271</v>
      </c>
      <c r="AB87" s="318" t="s">
        <v>271</v>
      </c>
      <c r="AC87" s="318" t="s">
        <v>271</v>
      </c>
      <c r="AD87" s="318" t="s">
        <v>271</v>
      </c>
      <c r="AE87" s="318" t="s">
        <v>271</v>
      </c>
      <c r="AF87" s="318" t="s">
        <v>271</v>
      </c>
      <c r="AG87" s="318" t="s">
        <v>271</v>
      </c>
      <c r="AH87" s="318" t="s">
        <v>271</v>
      </c>
      <c r="AI87" s="318" t="s">
        <v>271</v>
      </c>
      <c r="AJ87" s="318" t="s">
        <v>271</v>
      </c>
      <c r="AK87" s="318" t="s">
        <v>271</v>
      </c>
      <c r="AL87" s="318" t="s">
        <v>271</v>
      </c>
      <c r="AM87" s="318" t="s">
        <v>271</v>
      </c>
      <c r="AN87" s="318" t="s">
        <v>271</v>
      </c>
      <c r="AO87" s="318" t="s">
        <v>271</v>
      </c>
      <c r="AP87" s="318" t="s">
        <v>271</v>
      </c>
      <c r="AQ87" s="318" t="s">
        <v>271</v>
      </c>
      <c r="AR87" s="318" t="s">
        <v>271</v>
      </c>
      <c r="AS87" s="318" t="s">
        <v>271</v>
      </c>
      <c r="AT87" s="318" t="s">
        <v>271</v>
      </c>
      <c r="AU87" s="318" t="s">
        <v>271</v>
      </c>
      <c r="AV87" s="318" t="s">
        <v>271</v>
      </c>
      <c r="AW87" s="318" t="s">
        <v>271</v>
      </c>
      <c r="AX87" s="318" t="s">
        <v>271</v>
      </c>
      <c r="AY87" s="318" t="s">
        <v>271</v>
      </c>
      <c r="AZ87" s="318" t="s">
        <v>271</v>
      </c>
    </row>
    <row r="88" spans="1:52" s="319" customFormat="1" ht="11.25" x14ac:dyDescent="0.2">
      <c r="A88" s="315" t="s">
        <v>316</v>
      </c>
      <c r="B88" s="316" t="s">
        <v>271</v>
      </c>
      <c r="C88" s="315" t="s">
        <v>271</v>
      </c>
      <c r="D88" s="315" t="s">
        <v>271</v>
      </c>
      <c r="E88" s="317" t="s">
        <v>271</v>
      </c>
      <c r="F88" s="318" t="s">
        <v>271</v>
      </c>
      <c r="G88" s="318" t="s">
        <v>271</v>
      </c>
      <c r="H88" s="318" t="s">
        <v>271</v>
      </c>
      <c r="I88" s="318" t="s">
        <v>271</v>
      </c>
      <c r="J88" s="318" t="s">
        <v>271</v>
      </c>
      <c r="K88" s="318" t="s">
        <v>271</v>
      </c>
      <c r="L88" s="318" t="s">
        <v>271</v>
      </c>
      <c r="M88" s="318" t="s">
        <v>271</v>
      </c>
      <c r="N88" s="318" t="s">
        <v>271</v>
      </c>
      <c r="O88" s="318" t="s">
        <v>271</v>
      </c>
      <c r="P88" s="318" t="s">
        <v>271</v>
      </c>
      <c r="Q88" s="318" t="s">
        <v>271</v>
      </c>
      <c r="R88" s="318" t="s">
        <v>271</v>
      </c>
      <c r="S88" s="318" t="s">
        <v>271</v>
      </c>
      <c r="T88" s="318" t="s">
        <v>271</v>
      </c>
      <c r="U88" s="318" t="s">
        <v>271</v>
      </c>
      <c r="V88" s="318" t="s">
        <v>271</v>
      </c>
      <c r="W88" s="318" t="s">
        <v>271</v>
      </c>
      <c r="X88" s="318" t="s">
        <v>271</v>
      </c>
      <c r="Y88" s="318" t="s">
        <v>271</v>
      </c>
      <c r="Z88" s="318" t="s">
        <v>271</v>
      </c>
      <c r="AA88" s="318" t="s">
        <v>271</v>
      </c>
      <c r="AB88" s="318" t="s">
        <v>271</v>
      </c>
      <c r="AC88" s="318" t="s">
        <v>271</v>
      </c>
      <c r="AD88" s="318" t="s">
        <v>271</v>
      </c>
      <c r="AE88" s="318" t="s">
        <v>271</v>
      </c>
      <c r="AF88" s="318" t="s">
        <v>271</v>
      </c>
      <c r="AG88" s="318" t="s">
        <v>271</v>
      </c>
      <c r="AH88" s="318" t="s">
        <v>271</v>
      </c>
      <c r="AI88" s="318" t="s">
        <v>271</v>
      </c>
      <c r="AJ88" s="318" t="s">
        <v>271</v>
      </c>
      <c r="AK88" s="318" t="s">
        <v>271</v>
      </c>
      <c r="AL88" s="318" t="s">
        <v>271</v>
      </c>
      <c r="AM88" s="318" t="s">
        <v>271</v>
      </c>
      <c r="AN88" s="318" t="s">
        <v>271</v>
      </c>
      <c r="AO88" s="318" t="s">
        <v>271</v>
      </c>
      <c r="AP88" s="318" t="s">
        <v>271</v>
      </c>
      <c r="AQ88" s="318" t="s">
        <v>271</v>
      </c>
      <c r="AR88" s="318" t="s">
        <v>271</v>
      </c>
      <c r="AS88" s="318" t="s">
        <v>271</v>
      </c>
      <c r="AT88" s="318" t="s">
        <v>271</v>
      </c>
      <c r="AU88" s="318" t="s">
        <v>271</v>
      </c>
      <c r="AV88" s="318" t="s">
        <v>271</v>
      </c>
      <c r="AW88" s="318" t="s">
        <v>271</v>
      </c>
      <c r="AX88" s="318" t="s">
        <v>271</v>
      </c>
      <c r="AY88" s="318" t="s">
        <v>271</v>
      </c>
      <c r="AZ88" s="318" t="s">
        <v>271</v>
      </c>
    </row>
    <row r="89" spans="1:52" s="319" customFormat="1" ht="11.25" x14ac:dyDescent="0.2">
      <c r="A89" s="315" t="s">
        <v>271</v>
      </c>
      <c r="B89" s="316" t="s">
        <v>271</v>
      </c>
      <c r="C89" s="315" t="s">
        <v>271</v>
      </c>
      <c r="D89" s="315" t="s">
        <v>271</v>
      </c>
      <c r="E89" s="317" t="s">
        <v>274</v>
      </c>
      <c r="F89" s="318" t="s">
        <v>271</v>
      </c>
      <c r="G89" s="318" t="s">
        <v>271</v>
      </c>
      <c r="H89" s="318" t="s">
        <v>271</v>
      </c>
      <c r="I89" s="318" t="s">
        <v>271</v>
      </c>
      <c r="J89" s="318" t="s">
        <v>271</v>
      </c>
      <c r="K89" s="318" t="s">
        <v>271</v>
      </c>
      <c r="L89" s="318" t="s">
        <v>271</v>
      </c>
      <c r="M89" s="318" t="s">
        <v>271</v>
      </c>
      <c r="N89" s="318" t="s">
        <v>271</v>
      </c>
      <c r="O89" s="318" t="s">
        <v>271</v>
      </c>
      <c r="P89" s="318" t="s">
        <v>271</v>
      </c>
      <c r="Q89" s="318" t="s">
        <v>271</v>
      </c>
      <c r="R89" s="318" t="s">
        <v>271</v>
      </c>
      <c r="S89" s="318" t="s">
        <v>271</v>
      </c>
      <c r="T89" s="318" t="s">
        <v>271</v>
      </c>
      <c r="U89" s="318" t="s">
        <v>271</v>
      </c>
      <c r="V89" s="318" t="s">
        <v>271</v>
      </c>
      <c r="W89" s="318" t="s">
        <v>271</v>
      </c>
      <c r="X89" s="318" t="s">
        <v>271</v>
      </c>
      <c r="Y89" s="318" t="s">
        <v>271</v>
      </c>
      <c r="Z89" s="318" t="s">
        <v>271</v>
      </c>
      <c r="AA89" s="318" t="s">
        <v>271</v>
      </c>
      <c r="AB89" s="318" t="s">
        <v>271</v>
      </c>
      <c r="AC89" s="318" t="s">
        <v>271</v>
      </c>
      <c r="AD89" s="318" t="s">
        <v>271</v>
      </c>
      <c r="AE89" s="318" t="s">
        <v>271</v>
      </c>
      <c r="AF89" s="318" t="s">
        <v>271</v>
      </c>
      <c r="AG89" s="318" t="s">
        <v>271</v>
      </c>
      <c r="AH89" s="318" t="s">
        <v>271</v>
      </c>
      <c r="AI89" s="318" t="s">
        <v>271</v>
      </c>
      <c r="AJ89" s="318" t="s">
        <v>271</v>
      </c>
      <c r="AK89" s="318" t="s">
        <v>271</v>
      </c>
      <c r="AL89" s="318" t="s">
        <v>271</v>
      </c>
      <c r="AM89" s="318" t="s">
        <v>271</v>
      </c>
      <c r="AN89" s="318" t="s">
        <v>271</v>
      </c>
      <c r="AO89" s="318" t="s">
        <v>271</v>
      </c>
      <c r="AP89" s="318" t="s">
        <v>271</v>
      </c>
      <c r="AQ89" s="318" t="s">
        <v>271</v>
      </c>
      <c r="AR89" s="318" t="s">
        <v>271</v>
      </c>
      <c r="AS89" s="318" t="s">
        <v>271</v>
      </c>
      <c r="AT89" s="318" t="s">
        <v>271</v>
      </c>
      <c r="AU89" s="318" t="s">
        <v>271</v>
      </c>
      <c r="AV89" s="318" t="s">
        <v>271</v>
      </c>
      <c r="AW89" s="318" t="s">
        <v>271</v>
      </c>
      <c r="AX89" s="318" t="s">
        <v>271</v>
      </c>
      <c r="AY89" s="318" t="s">
        <v>271</v>
      </c>
      <c r="AZ89" s="318" t="s">
        <v>271</v>
      </c>
    </row>
    <row r="90" spans="1:52" s="319" customFormat="1" ht="22.5" x14ac:dyDescent="0.2">
      <c r="A90" s="315" t="s">
        <v>271</v>
      </c>
      <c r="B90" s="316" t="s">
        <v>275</v>
      </c>
      <c r="C90" s="320" t="s">
        <v>271</v>
      </c>
      <c r="D90" s="320" t="s">
        <v>271</v>
      </c>
      <c r="E90" s="321" t="s">
        <v>276</v>
      </c>
      <c r="F90" s="321" t="s">
        <v>276</v>
      </c>
      <c r="G90" s="321" t="s">
        <v>277</v>
      </c>
      <c r="H90" s="321" t="s">
        <v>89</v>
      </c>
      <c r="I90" s="321" t="s">
        <v>278</v>
      </c>
      <c r="J90" s="321" t="s">
        <v>279</v>
      </c>
      <c r="K90" s="321" t="s">
        <v>280</v>
      </c>
      <c r="L90" s="321" t="s">
        <v>281</v>
      </c>
      <c r="M90" s="321" t="s">
        <v>282</v>
      </c>
      <c r="N90" s="321" t="s">
        <v>283</v>
      </c>
      <c r="O90" s="321" t="s">
        <v>284</v>
      </c>
      <c r="P90" s="321" t="s">
        <v>285</v>
      </c>
      <c r="Q90" s="321" t="s">
        <v>286</v>
      </c>
      <c r="R90" s="321" t="s">
        <v>287</v>
      </c>
      <c r="S90" s="321" t="s">
        <v>288</v>
      </c>
      <c r="T90" s="321" t="s">
        <v>289</v>
      </c>
      <c r="U90" s="321" t="s">
        <v>290</v>
      </c>
      <c r="V90" s="321" t="s">
        <v>291</v>
      </c>
      <c r="W90" s="321" t="s">
        <v>292</v>
      </c>
      <c r="X90" s="321" t="s">
        <v>271</v>
      </c>
      <c r="Y90" s="321" t="s">
        <v>271</v>
      </c>
      <c r="Z90" s="318" t="s">
        <v>271</v>
      </c>
      <c r="AA90" s="318" t="s">
        <v>271</v>
      </c>
      <c r="AB90" s="318" t="s">
        <v>271</v>
      </c>
      <c r="AC90" s="318" t="s">
        <v>271</v>
      </c>
      <c r="AD90" s="318" t="s">
        <v>271</v>
      </c>
      <c r="AE90" s="318" t="s">
        <v>271</v>
      </c>
      <c r="AF90" s="318" t="s">
        <v>271</v>
      </c>
      <c r="AG90" s="318" t="s">
        <v>271</v>
      </c>
      <c r="AH90" s="318" t="s">
        <v>271</v>
      </c>
      <c r="AI90" s="318" t="s">
        <v>271</v>
      </c>
      <c r="AJ90" s="318" t="s">
        <v>271</v>
      </c>
      <c r="AK90" s="318" t="s">
        <v>271</v>
      </c>
      <c r="AL90" s="318" t="s">
        <v>271</v>
      </c>
      <c r="AM90" s="318" t="s">
        <v>271</v>
      </c>
      <c r="AN90" s="318" t="s">
        <v>271</v>
      </c>
      <c r="AO90" s="318" t="s">
        <v>271</v>
      </c>
      <c r="AP90" s="318" t="s">
        <v>271</v>
      </c>
      <c r="AQ90" s="318" t="s">
        <v>271</v>
      </c>
      <c r="AR90" s="318" t="s">
        <v>271</v>
      </c>
      <c r="AS90" s="318" t="s">
        <v>271</v>
      </c>
      <c r="AT90" s="318" t="s">
        <v>271</v>
      </c>
      <c r="AU90" s="318" t="s">
        <v>271</v>
      </c>
      <c r="AV90" s="318" t="s">
        <v>271</v>
      </c>
      <c r="AW90" s="318" t="s">
        <v>271</v>
      </c>
      <c r="AX90" s="318" t="s">
        <v>271</v>
      </c>
      <c r="AY90" s="318" t="s">
        <v>271</v>
      </c>
      <c r="AZ90" s="318" t="s">
        <v>271</v>
      </c>
    </row>
    <row r="91" spans="1:52" s="319" customFormat="1" ht="11.25" x14ac:dyDescent="0.2">
      <c r="A91" s="315" t="s">
        <v>293</v>
      </c>
      <c r="B91" s="316" t="s">
        <v>294</v>
      </c>
      <c r="C91" s="320" t="s">
        <v>271</v>
      </c>
      <c r="D91" s="320" t="s">
        <v>293</v>
      </c>
      <c r="E91" s="318" t="s">
        <v>295</v>
      </c>
      <c r="F91" s="318" t="s">
        <v>294</v>
      </c>
      <c r="G91" s="318" t="s">
        <v>296</v>
      </c>
      <c r="H91" s="318" t="s">
        <v>296</v>
      </c>
      <c r="I91" s="318" t="s">
        <v>296</v>
      </c>
      <c r="J91" s="318" t="s">
        <v>296</v>
      </c>
      <c r="K91" s="318" t="s">
        <v>296</v>
      </c>
      <c r="L91" s="318" t="s">
        <v>296</v>
      </c>
      <c r="M91" s="318" t="s">
        <v>296</v>
      </c>
      <c r="N91" s="318" t="s">
        <v>296</v>
      </c>
      <c r="O91" s="318" t="s">
        <v>296</v>
      </c>
      <c r="P91" s="318" t="s">
        <v>296</v>
      </c>
      <c r="Q91" s="318" t="s">
        <v>296</v>
      </c>
      <c r="R91" s="318" t="s">
        <v>296</v>
      </c>
      <c r="S91" s="318" t="s">
        <v>271</v>
      </c>
      <c r="T91" s="318" t="s">
        <v>271</v>
      </c>
      <c r="U91" s="318" t="s">
        <v>271</v>
      </c>
      <c r="V91" s="318" t="s">
        <v>271</v>
      </c>
      <c r="W91" s="318" t="s">
        <v>271</v>
      </c>
      <c r="X91" s="318" t="s">
        <v>271</v>
      </c>
      <c r="Y91" s="318" t="s">
        <v>271</v>
      </c>
      <c r="Z91" s="318" t="s">
        <v>271</v>
      </c>
      <c r="AA91" s="318" t="s">
        <v>271</v>
      </c>
      <c r="AB91" s="318" t="s">
        <v>271</v>
      </c>
      <c r="AC91" s="318" t="s">
        <v>271</v>
      </c>
      <c r="AD91" s="318" t="s">
        <v>271</v>
      </c>
      <c r="AE91" s="318" t="s">
        <v>271</v>
      </c>
      <c r="AF91" s="318" t="s">
        <v>271</v>
      </c>
      <c r="AG91" s="318" t="s">
        <v>271</v>
      </c>
      <c r="AH91" s="318" t="s">
        <v>271</v>
      </c>
      <c r="AI91" s="318" t="s">
        <v>271</v>
      </c>
      <c r="AJ91" s="318" t="s">
        <v>271</v>
      </c>
      <c r="AK91" s="318" t="s">
        <v>271</v>
      </c>
      <c r="AL91" s="318" t="s">
        <v>271</v>
      </c>
      <c r="AM91" s="318" t="s">
        <v>271</v>
      </c>
      <c r="AN91" s="318" t="s">
        <v>271</v>
      </c>
      <c r="AO91" s="318" t="s">
        <v>271</v>
      </c>
      <c r="AP91" s="318" t="s">
        <v>271</v>
      </c>
      <c r="AQ91" s="318" t="s">
        <v>271</v>
      </c>
      <c r="AR91" s="318" t="s">
        <v>271</v>
      </c>
      <c r="AS91" s="318" t="s">
        <v>271</v>
      </c>
      <c r="AT91" s="318" t="s">
        <v>271</v>
      </c>
      <c r="AU91" s="318" t="s">
        <v>271</v>
      </c>
      <c r="AV91" s="318" t="s">
        <v>271</v>
      </c>
      <c r="AW91" s="318" t="s">
        <v>271</v>
      </c>
      <c r="AX91" s="318" t="s">
        <v>271</v>
      </c>
      <c r="AY91" s="318" t="s">
        <v>271</v>
      </c>
      <c r="AZ91" s="318" t="s">
        <v>271</v>
      </c>
    </row>
    <row r="92" spans="1:52" s="319" customFormat="1" ht="11.25" x14ac:dyDescent="0.2">
      <c r="A92" s="320" t="s">
        <v>297</v>
      </c>
      <c r="B92" s="322">
        <v>1470</v>
      </c>
      <c r="C92" s="320" t="s">
        <v>271</v>
      </c>
      <c r="D92" s="320" t="s">
        <v>317</v>
      </c>
      <c r="E92" s="318">
        <v>19</v>
      </c>
      <c r="F92" s="318">
        <v>19</v>
      </c>
      <c r="G92" s="318">
        <v>0</v>
      </c>
      <c r="H92" s="318">
        <v>0</v>
      </c>
      <c r="I92" s="318">
        <v>0</v>
      </c>
      <c r="J92" s="318">
        <v>0</v>
      </c>
      <c r="K92" s="318">
        <v>0</v>
      </c>
      <c r="L92" s="318">
        <v>0</v>
      </c>
      <c r="M92" s="318">
        <v>0</v>
      </c>
      <c r="N92" s="318">
        <v>0</v>
      </c>
      <c r="O92" s="318">
        <v>0</v>
      </c>
      <c r="P92" s="318">
        <v>0</v>
      </c>
      <c r="Q92" s="318">
        <v>0</v>
      </c>
      <c r="R92" s="318">
        <v>0</v>
      </c>
      <c r="S92" s="318">
        <v>0</v>
      </c>
      <c r="T92" s="318">
        <v>0</v>
      </c>
      <c r="U92" s="318">
        <v>0</v>
      </c>
      <c r="V92" s="318">
        <v>0</v>
      </c>
      <c r="W92" s="318">
        <v>-0.38300000000000001</v>
      </c>
      <c r="X92" s="318" t="s">
        <v>271</v>
      </c>
      <c r="Y92" s="318" t="s">
        <v>271</v>
      </c>
      <c r="Z92" s="318" t="s">
        <v>271</v>
      </c>
      <c r="AA92" s="318" t="s">
        <v>271</v>
      </c>
      <c r="AB92" s="318" t="s">
        <v>271</v>
      </c>
      <c r="AC92" s="318" t="s">
        <v>271</v>
      </c>
      <c r="AD92" s="318" t="s">
        <v>271</v>
      </c>
      <c r="AE92" s="318" t="s">
        <v>271</v>
      </c>
      <c r="AF92" s="318" t="s">
        <v>271</v>
      </c>
      <c r="AG92" s="318" t="s">
        <v>271</v>
      </c>
      <c r="AH92" s="318" t="s">
        <v>271</v>
      </c>
      <c r="AI92" s="318" t="s">
        <v>271</v>
      </c>
      <c r="AJ92" s="318" t="s">
        <v>271</v>
      </c>
      <c r="AK92" s="318" t="s">
        <v>271</v>
      </c>
      <c r="AL92" s="318" t="s">
        <v>271</v>
      </c>
      <c r="AM92" s="318" t="s">
        <v>271</v>
      </c>
      <c r="AN92" s="318" t="s">
        <v>271</v>
      </c>
      <c r="AO92" s="318" t="s">
        <v>271</v>
      </c>
      <c r="AP92" s="318" t="s">
        <v>271</v>
      </c>
      <c r="AQ92" s="318" t="s">
        <v>271</v>
      </c>
      <c r="AR92" s="318" t="s">
        <v>271</v>
      </c>
      <c r="AS92" s="318" t="s">
        <v>271</v>
      </c>
      <c r="AT92" s="318" t="s">
        <v>271</v>
      </c>
      <c r="AU92" s="318" t="s">
        <v>271</v>
      </c>
      <c r="AV92" s="318" t="s">
        <v>271</v>
      </c>
      <c r="AW92" s="318" t="s">
        <v>271</v>
      </c>
      <c r="AX92" s="318" t="s">
        <v>271</v>
      </c>
      <c r="AY92" s="318" t="s">
        <v>271</v>
      </c>
      <c r="AZ92" s="318" t="s">
        <v>271</v>
      </c>
    </row>
    <row r="93" spans="1:52" s="319" customFormat="1" ht="11.25" x14ac:dyDescent="0.2">
      <c r="A93" s="320" t="s">
        <v>300</v>
      </c>
      <c r="B93" s="322">
        <v>1470</v>
      </c>
      <c r="C93" s="320" t="s">
        <v>271</v>
      </c>
      <c r="D93" s="320" t="s">
        <v>297</v>
      </c>
      <c r="E93" s="318">
        <v>231</v>
      </c>
      <c r="F93" s="318">
        <v>235</v>
      </c>
      <c r="G93" s="318">
        <v>0</v>
      </c>
      <c r="H93" s="318">
        <v>0</v>
      </c>
      <c r="I93" s="318">
        <v>0</v>
      </c>
      <c r="J93" s="318">
        <v>0</v>
      </c>
      <c r="K93" s="318">
        <v>0</v>
      </c>
      <c r="L93" s="318">
        <v>0</v>
      </c>
      <c r="M93" s="318">
        <v>0</v>
      </c>
      <c r="N93" s="318">
        <v>0</v>
      </c>
      <c r="O93" s="318">
        <v>0</v>
      </c>
      <c r="P93" s="318">
        <v>0</v>
      </c>
      <c r="Q93" s="318">
        <v>0</v>
      </c>
      <c r="R93" s="318">
        <v>0</v>
      </c>
      <c r="S93" s="318">
        <v>0</v>
      </c>
      <c r="T93" s="318">
        <v>0</v>
      </c>
      <c r="U93" s="318">
        <v>0</v>
      </c>
      <c r="V93" s="318">
        <v>0</v>
      </c>
      <c r="W93" s="318">
        <v>-4.6239999999999997</v>
      </c>
      <c r="X93" s="318" t="s">
        <v>271</v>
      </c>
      <c r="Y93" s="318" t="s">
        <v>271</v>
      </c>
      <c r="Z93" s="318" t="s">
        <v>271</v>
      </c>
      <c r="AA93" s="318" t="s">
        <v>271</v>
      </c>
      <c r="AB93" s="318" t="s">
        <v>271</v>
      </c>
      <c r="AC93" s="318" t="s">
        <v>271</v>
      </c>
      <c r="AD93" s="318" t="s">
        <v>271</v>
      </c>
      <c r="AE93" s="318" t="s">
        <v>271</v>
      </c>
      <c r="AF93" s="318" t="s">
        <v>271</v>
      </c>
      <c r="AG93" s="318" t="s">
        <v>271</v>
      </c>
      <c r="AH93" s="318" t="s">
        <v>271</v>
      </c>
      <c r="AI93" s="318" t="s">
        <v>271</v>
      </c>
      <c r="AJ93" s="318" t="s">
        <v>271</v>
      </c>
      <c r="AK93" s="318" t="s">
        <v>271</v>
      </c>
      <c r="AL93" s="318" t="s">
        <v>271</v>
      </c>
      <c r="AM93" s="318" t="s">
        <v>271</v>
      </c>
      <c r="AN93" s="318" t="s">
        <v>271</v>
      </c>
      <c r="AO93" s="318" t="s">
        <v>271</v>
      </c>
      <c r="AP93" s="318" t="s">
        <v>271</v>
      </c>
      <c r="AQ93" s="318" t="s">
        <v>271</v>
      </c>
      <c r="AR93" s="318" t="s">
        <v>271</v>
      </c>
      <c r="AS93" s="318" t="s">
        <v>271</v>
      </c>
      <c r="AT93" s="318" t="s">
        <v>271</v>
      </c>
      <c r="AU93" s="318" t="s">
        <v>271</v>
      </c>
      <c r="AV93" s="318" t="s">
        <v>271</v>
      </c>
      <c r="AW93" s="318" t="s">
        <v>271</v>
      </c>
      <c r="AX93" s="318" t="s">
        <v>271</v>
      </c>
      <c r="AY93" s="318" t="s">
        <v>271</v>
      </c>
      <c r="AZ93" s="318" t="s">
        <v>271</v>
      </c>
    </row>
    <row r="94" spans="1:52" s="319" customFormat="1" ht="11.25" x14ac:dyDescent="0.2">
      <c r="A94" s="320" t="s">
        <v>271</v>
      </c>
      <c r="B94" s="322" t="s">
        <v>271</v>
      </c>
      <c r="C94" s="320" t="s">
        <v>271</v>
      </c>
      <c r="D94" s="320" t="s">
        <v>301</v>
      </c>
      <c r="E94" s="318">
        <v>39</v>
      </c>
      <c r="F94" s="318">
        <v>40</v>
      </c>
      <c r="G94" s="318">
        <v>0</v>
      </c>
      <c r="H94" s="318">
        <v>0</v>
      </c>
      <c r="I94" s="318">
        <v>0</v>
      </c>
      <c r="J94" s="318">
        <v>0</v>
      </c>
      <c r="K94" s="318">
        <v>0</v>
      </c>
      <c r="L94" s="318">
        <v>0</v>
      </c>
      <c r="M94" s="318">
        <v>0</v>
      </c>
      <c r="N94" s="318">
        <v>0</v>
      </c>
      <c r="O94" s="318">
        <v>0</v>
      </c>
      <c r="P94" s="318">
        <v>0</v>
      </c>
      <c r="Q94" s="318">
        <v>0</v>
      </c>
      <c r="R94" s="318">
        <v>0</v>
      </c>
      <c r="S94" s="318">
        <v>0</v>
      </c>
      <c r="T94" s="318">
        <v>0</v>
      </c>
      <c r="U94" s="318">
        <v>0</v>
      </c>
      <c r="V94" s="318">
        <v>0</v>
      </c>
      <c r="W94" s="318">
        <v>-0.78400000000000003</v>
      </c>
      <c r="X94" s="318" t="s">
        <v>271</v>
      </c>
      <c r="Y94" s="318" t="s">
        <v>271</v>
      </c>
      <c r="Z94" s="318" t="s">
        <v>271</v>
      </c>
      <c r="AA94" s="318" t="s">
        <v>271</v>
      </c>
      <c r="AB94" s="318" t="s">
        <v>271</v>
      </c>
      <c r="AC94" s="318" t="s">
        <v>271</v>
      </c>
      <c r="AD94" s="318" t="s">
        <v>271</v>
      </c>
      <c r="AE94" s="318" t="s">
        <v>271</v>
      </c>
      <c r="AF94" s="318" t="s">
        <v>271</v>
      </c>
      <c r="AG94" s="318" t="s">
        <v>271</v>
      </c>
      <c r="AH94" s="318" t="s">
        <v>271</v>
      </c>
      <c r="AI94" s="318" t="s">
        <v>271</v>
      </c>
      <c r="AJ94" s="318" t="s">
        <v>271</v>
      </c>
      <c r="AK94" s="318" t="s">
        <v>271</v>
      </c>
      <c r="AL94" s="318" t="s">
        <v>271</v>
      </c>
      <c r="AM94" s="318" t="s">
        <v>271</v>
      </c>
      <c r="AN94" s="318" t="s">
        <v>271</v>
      </c>
      <c r="AO94" s="318" t="s">
        <v>271</v>
      </c>
      <c r="AP94" s="318" t="s">
        <v>271</v>
      </c>
      <c r="AQ94" s="318" t="s">
        <v>271</v>
      </c>
      <c r="AR94" s="318" t="s">
        <v>271</v>
      </c>
      <c r="AS94" s="318" t="s">
        <v>271</v>
      </c>
      <c r="AT94" s="318" t="s">
        <v>271</v>
      </c>
      <c r="AU94" s="318" t="s">
        <v>271</v>
      </c>
      <c r="AV94" s="318" t="s">
        <v>271</v>
      </c>
      <c r="AW94" s="318" t="s">
        <v>271</v>
      </c>
      <c r="AX94" s="318" t="s">
        <v>271</v>
      </c>
      <c r="AY94" s="318" t="s">
        <v>271</v>
      </c>
      <c r="AZ94" s="318" t="s">
        <v>271</v>
      </c>
    </row>
    <row r="95" spans="1:52" s="319" customFormat="1" ht="11.25" x14ac:dyDescent="0.2">
      <c r="A95" s="320" t="s">
        <v>302</v>
      </c>
      <c r="B95" s="322">
        <v>58</v>
      </c>
      <c r="C95" s="320" t="s">
        <v>271</v>
      </c>
      <c r="D95" s="320" t="s">
        <v>271</v>
      </c>
      <c r="E95" s="318" t="s">
        <v>271</v>
      </c>
      <c r="F95" s="318" t="s">
        <v>271</v>
      </c>
      <c r="G95" s="318" t="s">
        <v>271</v>
      </c>
      <c r="H95" s="318" t="s">
        <v>271</v>
      </c>
      <c r="I95" s="318" t="s">
        <v>271</v>
      </c>
      <c r="J95" s="318" t="s">
        <v>271</v>
      </c>
      <c r="K95" s="318" t="s">
        <v>271</v>
      </c>
      <c r="L95" s="318" t="s">
        <v>271</v>
      </c>
      <c r="M95" s="318" t="s">
        <v>271</v>
      </c>
      <c r="N95" s="318" t="s">
        <v>271</v>
      </c>
      <c r="O95" s="318" t="s">
        <v>271</v>
      </c>
      <c r="P95" s="318" t="s">
        <v>271</v>
      </c>
      <c r="Q95" s="318" t="s">
        <v>271</v>
      </c>
      <c r="R95" s="318" t="s">
        <v>271</v>
      </c>
      <c r="S95" s="318" t="s">
        <v>271</v>
      </c>
      <c r="T95" s="318" t="s">
        <v>271</v>
      </c>
      <c r="U95" s="318" t="s">
        <v>271</v>
      </c>
      <c r="V95" s="318" t="s">
        <v>271</v>
      </c>
      <c r="W95" s="318" t="s">
        <v>271</v>
      </c>
      <c r="X95" s="318" t="s">
        <v>271</v>
      </c>
      <c r="Y95" s="318" t="s">
        <v>271</v>
      </c>
      <c r="Z95" s="318" t="s">
        <v>271</v>
      </c>
      <c r="AA95" s="318" t="s">
        <v>271</v>
      </c>
      <c r="AB95" s="318" t="s">
        <v>271</v>
      </c>
      <c r="AC95" s="318" t="s">
        <v>271</v>
      </c>
      <c r="AD95" s="318" t="s">
        <v>271</v>
      </c>
      <c r="AE95" s="318" t="s">
        <v>271</v>
      </c>
      <c r="AF95" s="318" t="s">
        <v>271</v>
      </c>
      <c r="AG95" s="318" t="s">
        <v>271</v>
      </c>
      <c r="AH95" s="318" t="s">
        <v>271</v>
      </c>
      <c r="AI95" s="318" t="s">
        <v>271</v>
      </c>
      <c r="AJ95" s="318" t="s">
        <v>271</v>
      </c>
      <c r="AK95" s="318" t="s">
        <v>271</v>
      </c>
      <c r="AL95" s="318" t="s">
        <v>271</v>
      </c>
      <c r="AM95" s="318" t="s">
        <v>271</v>
      </c>
      <c r="AN95" s="318" t="s">
        <v>271</v>
      </c>
      <c r="AO95" s="318" t="s">
        <v>271</v>
      </c>
      <c r="AP95" s="318" t="s">
        <v>271</v>
      </c>
      <c r="AQ95" s="318" t="s">
        <v>271</v>
      </c>
      <c r="AR95" s="318" t="s">
        <v>271</v>
      </c>
      <c r="AS95" s="318" t="s">
        <v>271</v>
      </c>
      <c r="AT95" s="318" t="s">
        <v>271</v>
      </c>
      <c r="AU95" s="318" t="s">
        <v>271</v>
      </c>
      <c r="AV95" s="318" t="s">
        <v>271</v>
      </c>
      <c r="AW95" s="318" t="s">
        <v>271</v>
      </c>
      <c r="AX95" s="318" t="s">
        <v>271</v>
      </c>
      <c r="AY95" s="318" t="s">
        <v>271</v>
      </c>
      <c r="AZ95" s="318" t="s">
        <v>271</v>
      </c>
    </row>
    <row r="96" spans="1:52" s="319" customFormat="1" ht="11.25" x14ac:dyDescent="0.2">
      <c r="A96" s="320" t="s">
        <v>271</v>
      </c>
      <c r="B96" s="322" t="s">
        <v>271</v>
      </c>
      <c r="C96" s="320" t="s">
        <v>271</v>
      </c>
      <c r="D96" s="320" t="s">
        <v>303</v>
      </c>
      <c r="E96" s="318">
        <v>289</v>
      </c>
      <c r="F96" s="318">
        <v>295</v>
      </c>
      <c r="G96" s="318">
        <v>0</v>
      </c>
      <c r="H96" s="318">
        <v>0</v>
      </c>
      <c r="I96" s="318">
        <v>0</v>
      </c>
      <c r="J96" s="318">
        <v>0</v>
      </c>
      <c r="K96" s="318">
        <v>0</v>
      </c>
      <c r="L96" s="318">
        <v>0</v>
      </c>
      <c r="M96" s="318">
        <v>0</v>
      </c>
      <c r="N96" s="318">
        <v>0</v>
      </c>
      <c r="O96" s="318">
        <v>0</v>
      </c>
      <c r="P96" s="318">
        <v>0</v>
      </c>
      <c r="Q96" s="318">
        <v>0</v>
      </c>
      <c r="R96" s="318">
        <v>0</v>
      </c>
      <c r="S96" s="318">
        <v>0</v>
      </c>
      <c r="T96" s="318">
        <v>0</v>
      </c>
      <c r="U96" s="318">
        <v>0</v>
      </c>
      <c r="V96" s="318">
        <v>0</v>
      </c>
      <c r="W96" s="318">
        <v>-5.7910000000000004</v>
      </c>
      <c r="X96" s="318" t="s">
        <v>271</v>
      </c>
      <c r="Y96" s="318" t="s">
        <v>271</v>
      </c>
      <c r="Z96" s="318" t="s">
        <v>271</v>
      </c>
      <c r="AA96" s="318" t="s">
        <v>271</v>
      </c>
      <c r="AB96" s="318" t="s">
        <v>271</v>
      </c>
      <c r="AC96" s="318" t="s">
        <v>271</v>
      </c>
      <c r="AD96" s="318" t="s">
        <v>271</v>
      </c>
      <c r="AE96" s="318" t="s">
        <v>271</v>
      </c>
      <c r="AF96" s="318" t="s">
        <v>271</v>
      </c>
      <c r="AG96" s="318" t="s">
        <v>271</v>
      </c>
      <c r="AH96" s="318" t="s">
        <v>271</v>
      </c>
      <c r="AI96" s="318" t="s">
        <v>271</v>
      </c>
      <c r="AJ96" s="318" t="s">
        <v>271</v>
      </c>
      <c r="AK96" s="318" t="s">
        <v>271</v>
      </c>
      <c r="AL96" s="318" t="s">
        <v>271</v>
      </c>
      <c r="AM96" s="318" t="s">
        <v>271</v>
      </c>
      <c r="AN96" s="318" t="s">
        <v>271</v>
      </c>
      <c r="AO96" s="318" t="s">
        <v>271</v>
      </c>
      <c r="AP96" s="318" t="s">
        <v>271</v>
      </c>
      <c r="AQ96" s="318" t="s">
        <v>271</v>
      </c>
      <c r="AR96" s="318" t="s">
        <v>271</v>
      </c>
      <c r="AS96" s="318" t="s">
        <v>271</v>
      </c>
      <c r="AT96" s="318" t="s">
        <v>271</v>
      </c>
      <c r="AU96" s="318" t="s">
        <v>271</v>
      </c>
      <c r="AV96" s="318" t="s">
        <v>271</v>
      </c>
      <c r="AW96" s="318" t="s">
        <v>271</v>
      </c>
      <c r="AX96" s="318" t="s">
        <v>271</v>
      </c>
      <c r="AY96" s="318" t="s">
        <v>271</v>
      </c>
      <c r="AZ96" s="318" t="s">
        <v>271</v>
      </c>
    </row>
    <row r="97" spans="1:52" s="319" customFormat="1" ht="11.25" x14ac:dyDescent="0.2">
      <c r="A97" s="320" t="s">
        <v>304</v>
      </c>
      <c r="B97" s="322">
        <v>1528</v>
      </c>
      <c r="C97" s="320" t="s">
        <v>271</v>
      </c>
      <c r="D97" s="320" t="s">
        <v>271</v>
      </c>
      <c r="E97" s="318" t="s">
        <v>271</v>
      </c>
      <c r="F97" s="318" t="s">
        <v>271</v>
      </c>
      <c r="G97" s="318" t="s">
        <v>271</v>
      </c>
      <c r="H97" s="318" t="s">
        <v>271</v>
      </c>
      <c r="I97" s="318" t="s">
        <v>271</v>
      </c>
      <c r="J97" s="318" t="s">
        <v>271</v>
      </c>
      <c r="K97" s="318" t="s">
        <v>271</v>
      </c>
      <c r="L97" s="318" t="s">
        <v>271</v>
      </c>
      <c r="M97" s="318" t="s">
        <v>271</v>
      </c>
      <c r="N97" s="318" t="s">
        <v>271</v>
      </c>
      <c r="O97" s="318" t="s">
        <v>271</v>
      </c>
      <c r="P97" s="318" t="s">
        <v>271</v>
      </c>
      <c r="Q97" s="318" t="s">
        <v>271</v>
      </c>
      <c r="R97" s="318" t="s">
        <v>271</v>
      </c>
      <c r="S97" s="318" t="s">
        <v>271</v>
      </c>
      <c r="T97" s="318" t="s">
        <v>271</v>
      </c>
      <c r="U97" s="318" t="s">
        <v>271</v>
      </c>
      <c r="V97" s="318" t="s">
        <v>271</v>
      </c>
      <c r="W97" s="318" t="s">
        <v>271</v>
      </c>
      <c r="X97" s="318" t="s">
        <v>271</v>
      </c>
      <c r="Y97" s="318" t="s">
        <v>271</v>
      </c>
      <c r="Z97" s="318" t="s">
        <v>271</v>
      </c>
      <c r="AA97" s="318" t="s">
        <v>271</v>
      </c>
      <c r="AB97" s="318" t="s">
        <v>271</v>
      </c>
      <c r="AC97" s="318" t="s">
        <v>271</v>
      </c>
      <c r="AD97" s="318" t="s">
        <v>271</v>
      </c>
      <c r="AE97" s="318" t="s">
        <v>271</v>
      </c>
      <c r="AF97" s="318" t="s">
        <v>271</v>
      </c>
      <c r="AG97" s="318" t="s">
        <v>271</v>
      </c>
      <c r="AH97" s="318" t="s">
        <v>271</v>
      </c>
      <c r="AI97" s="318" t="s">
        <v>271</v>
      </c>
      <c r="AJ97" s="318" t="s">
        <v>271</v>
      </c>
      <c r="AK97" s="318" t="s">
        <v>271</v>
      </c>
      <c r="AL97" s="318" t="s">
        <v>271</v>
      </c>
      <c r="AM97" s="318" t="s">
        <v>271</v>
      </c>
      <c r="AN97" s="318" t="s">
        <v>271</v>
      </c>
      <c r="AO97" s="318" t="s">
        <v>271</v>
      </c>
      <c r="AP97" s="318" t="s">
        <v>271</v>
      </c>
      <c r="AQ97" s="318" t="s">
        <v>271</v>
      </c>
      <c r="AR97" s="318" t="s">
        <v>271</v>
      </c>
      <c r="AS97" s="318" t="s">
        <v>271</v>
      </c>
      <c r="AT97" s="318" t="s">
        <v>271</v>
      </c>
      <c r="AU97" s="318" t="s">
        <v>271</v>
      </c>
      <c r="AV97" s="318" t="s">
        <v>271</v>
      </c>
      <c r="AW97" s="318" t="s">
        <v>271</v>
      </c>
      <c r="AX97" s="318" t="s">
        <v>271</v>
      </c>
      <c r="AY97" s="318" t="s">
        <v>271</v>
      </c>
      <c r="AZ97" s="318" t="s">
        <v>271</v>
      </c>
    </row>
    <row r="98" spans="1:52" s="319" customFormat="1" ht="11.25" x14ac:dyDescent="0.2">
      <c r="A98" s="320" t="s">
        <v>271</v>
      </c>
      <c r="B98" s="322" t="s">
        <v>271</v>
      </c>
      <c r="C98" s="320" t="s">
        <v>271</v>
      </c>
      <c r="D98" s="320" t="s">
        <v>305</v>
      </c>
      <c r="E98" s="318">
        <v>1257</v>
      </c>
      <c r="F98" s="318">
        <v>1158</v>
      </c>
      <c r="G98" s="318">
        <v>0</v>
      </c>
      <c r="H98" s="318">
        <v>0</v>
      </c>
      <c r="I98" s="318">
        <v>0</v>
      </c>
      <c r="J98" s="318">
        <v>0</v>
      </c>
      <c r="K98" s="318">
        <v>0</v>
      </c>
      <c r="L98" s="318">
        <v>0</v>
      </c>
      <c r="M98" s="318">
        <v>0</v>
      </c>
      <c r="N98" s="318">
        <v>0</v>
      </c>
      <c r="O98" s="318">
        <v>0</v>
      </c>
      <c r="P98" s="318">
        <v>0</v>
      </c>
      <c r="Q98" s="318">
        <v>0</v>
      </c>
      <c r="R98" s="318">
        <v>0</v>
      </c>
      <c r="S98" s="318">
        <v>0</v>
      </c>
      <c r="T98" s="318">
        <v>122</v>
      </c>
      <c r="U98" s="318">
        <v>0</v>
      </c>
      <c r="V98" s="318">
        <v>0</v>
      </c>
      <c r="W98" s="318">
        <v>-22.745999999999999</v>
      </c>
      <c r="X98" s="318" t="s">
        <v>271</v>
      </c>
      <c r="Y98" s="318" t="s">
        <v>271</v>
      </c>
      <c r="Z98" s="318" t="s">
        <v>271</v>
      </c>
      <c r="AA98" s="318" t="s">
        <v>271</v>
      </c>
      <c r="AB98" s="318" t="s">
        <v>271</v>
      </c>
      <c r="AC98" s="318" t="s">
        <v>271</v>
      </c>
      <c r="AD98" s="318" t="s">
        <v>271</v>
      </c>
      <c r="AE98" s="318" t="s">
        <v>271</v>
      </c>
      <c r="AF98" s="318" t="s">
        <v>271</v>
      </c>
      <c r="AG98" s="318" t="s">
        <v>271</v>
      </c>
      <c r="AH98" s="318" t="s">
        <v>271</v>
      </c>
      <c r="AI98" s="318" t="s">
        <v>271</v>
      </c>
      <c r="AJ98" s="318" t="s">
        <v>271</v>
      </c>
      <c r="AK98" s="318" t="s">
        <v>271</v>
      </c>
      <c r="AL98" s="318" t="s">
        <v>271</v>
      </c>
      <c r="AM98" s="318" t="s">
        <v>271</v>
      </c>
      <c r="AN98" s="318" t="s">
        <v>271</v>
      </c>
      <c r="AO98" s="318" t="s">
        <v>271</v>
      </c>
      <c r="AP98" s="318" t="s">
        <v>271</v>
      </c>
      <c r="AQ98" s="318" t="s">
        <v>271</v>
      </c>
      <c r="AR98" s="318" t="s">
        <v>271</v>
      </c>
      <c r="AS98" s="318" t="s">
        <v>271</v>
      </c>
      <c r="AT98" s="318" t="s">
        <v>271</v>
      </c>
      <c r="AU98" s="318" t="s">
        <v>271</v>
      </c>
      <c r="AV98" s="318" t="s">
        <v>271</v>
      </c>
      <c r="AW98" s="318" t="s">
        <v>271</v>
      </c>
      <c r="AX98" s="318" t="s">
        <v>271</v>
      </c>
      <c r="AY98" s="318" t="s">
        <v>271</v>
      </c>
      <c r="AZ98" s="318" t="s">
        <v>271</v>
      </c>
    </row>
    <row r="99" spans="1:52" s="319" customFormat="1" ht="11.25" x14ac:dyDescent="0.2">
      <c r="A99" s="320" t="s">
        <v>271</v>
      </c>
      <c r="B99" s="322" t="s">
        <v>271</v>
      </c>
      <c r="C99" s="320" t="s">
        <v>271</v>
      </c>
      <c r="D99" s="320" t="s">
        <v>306</v>
      </c>
      <c r="E99" s="318">
        <v>1</v>
      </c>
      <c r="F99" s="318">
        <v>1</v>
      </c>
      <c r="G99" s="318">
        <v>0</v>
      </c>
      <c r="H99" s="318">
        <v>0</v>
      </c>
      <c r="I99" s="318">
        <v>0</v>
      </c>
      <c r="J99" s="318">
        <v>0</v>
      </c>
      <c r="K99" s="318">
        <v>0</v>
      </c>
      <c r="L99" s="318">
        <v>0</v>
      </c>
      <c r="M99" s="318">
        <v>0</v>
      </c>
      <c r="N99" s="318">
        <v>0</v>
      </c>
      <c r="O99" s="318">
        <v>0</v>
      </c>
      <c r="P99" s="318">
        <v>0</v>
      </c>
      <c r="Q99" s="318">
        <v>0</v>
      </c>
      <c r="R99" s="318">
        <v>0</v>
      </c>
      <c r="S99" s="318">
        <v>0</v>
      </c>
      <c r="T99" s="318">
        <v>0</v>
      </c>
      <c r="U99" s="318">
        <v>0</v>
      </c>
      <c r="V99" s="318">
        <v>0</v>
      </c>
      <c r="W99" s="318">
        <v>0</v>
      </c>
      <c r="X99" s="318" t="s">
        <v>271</v>
      </c>
      <c r="Y99" s="318" t="s">
        <v>271</v>
      </c>
      <c r="Z99" s="318" t="s">
        <v>271</v>
      </c>
      <c r="AA99" s="318" t="s">
        <v>271</v>
      </c>
      <c r="AB99" s="318" t="s">
        <v>271</v>
      </c>
      <c r="AC99" s="318" t="s">
        <v>271</v>
      </c>
      <c r="AD99" s="318" t="s">
        <v>271</v>
      </c>
      <c r="AE99" s="318" t="s">
        <v>271</v>
      </c>
      <c r="AF99" s="318" t="s">
        <v>271</v>
      </c>
      <c r="AG99" s="318" t="s">
        <v>271</v>
      </c>
      <c r="AH99" s="318" t="s">
        <v>271</v>
      </c>
      <c r="AI99" s="318" t="s">
        <v>271</v>
      </c>
      <c r="AJ99" s="318" t="s">
        <v>271</v>
      </c>
      <c r="AK99" s="318" t="s">
        <v>271</v>
      </c>
      <c r="AL99" s="318" t="s">
        <v>271</v>
      </c>
      <c r="AM99" s="318" t="s">
        <v>271</v>
      </c>
      <c r="AN99" s="318" t="s">
        <v>271</v>
      </c>
      <c r="AO99" s="318" t="s">
        <v>271</v>
      </c>
      <c r="AP99" s="318" t="s">
        <v>271</v>
      </c>
      <c r="AQ99" s="318" t="s">
        <v>271</v>
      </c>
      <c r="AR99" s="318" t="s">
        <v>271</v>
      </c>
      <c r="AS99" s="318" t="s">
        <v>271</v>
      </c>
      <c r="AT99" s="318" t="s">
        <v>271</v>
      </c>
      <c r="AU99" s="318" t="s">
        <v>271</v>
      </c>
      <c r="AV99" s="318" t="s">
        <v>271</v>
      </c>
      <c r="AW99" s="318" t="s">
        <v>271</v>
      </c>
      <c r="AX99" s="318" t="s">
        <v>271</v>
      </c>
      <c r="AY99" s="318" t="s">
        <v>271</v>
      </c>
      <c r="AZ99" s="318" t="s">
        <v>271</v>
      </c>
    </row>
    <row r="100" spans="1:52" s="319" customFormat="1" ht="11.25" x14ac:dyDescent="0.2">
      <c r="A100" s="320" t="s">
        <v>271</v>
      </c>
      <c r="B100" s="322" t="s">
        <v>271</v>
      </c>
      <c r="C100" s="320" t="s">
        <v>271</v>
      </c>
      <c r="D100" s="320" t="s">
        <v>307</v>
      </c>
      <c r="E100" s="318">
        <v>0</v>
      </c>
      <c r="F100" s="318">
        <v>0</v>
      </c>
      <c r="G100" s="318">
        <v>0</v>
      </c>
      <c r="H100" s="318">
        <v>0</v>
      </c>
      <c r="I100" s="318">
        <v>0</v>
      </c>
      <c r="J100" s="318">
        <v>0</v>
      </c>
      <c r="K100" s="318">
        <v>0</v>
      </c>
      <c r="L100" s="318">
        <v>0</v>
      </c>
      <c r="M100" s="318">
        <v>0</v>
      </c>
      <c r="N100" s="318">
        <v>0</v>
      </c>
      <c r="O100" s="318">
        <v>0</v>
      </c>
      <c r="P100" s="318">
        <v>0</v>
      </c>
      <c r="Q100" s="318">
        <v>0</v>
      </c>
      <c r="R100" s="318">
        <v>0</v>
      </c>
      <c r="S100" s="318">
        <v>0</v>
      </c>
      <c r="T100" s="318">
        <v>0</v>
      </c>
      <c r="U100" s="318">
        <v>0</v>
      </c>
      <c r="V100" s="318">
        <v>0</v>
      </c>
      <c r="W100" s="318">
        <v>0</v>
      </c>
      <c r="X100" s="318" t="s">
        <v>271</v>
      </c>
      <c r="Y100" s="318" t="s">
        <v>271</v>
      </c>
      <c r="Z100" s="318" t="s">
        <v>271</v>
      </c>
      <c r="AA100" s="318" t="s">
        <v>271</v>
      </c>
      <c r="AB100" s="318" t="s">
        <v>271</v>
      </c>
      <c r="AC100" s="318" t="s">
        <v>271</v>
      </c>
      <c r="AD100" s="318" t="s">
        <v>271</v>
      </c>
      <c r="AE100" s="318" t="s">
        <v>271</v>
      </c>
      <c r="AF100" s="318" t="s">
        <v>271</v>
      </c>
      <c r="AG100" s="318" t="s">
        <v>271</v>
      </c>
      <c r="AH100" s="318" t="s">
        <v>271</v>
      </c>
      <c r="AI100" s="318" t="s">
        <v>271</v>
      </c>
      <c r="AJ100" s="318" t="s">
        <v>271</v>
      </c>
      <c r="AK100" s="318" t="s">
        <v>271</v>
      </c>
      <c r="AL100" s="318" t="s">
        <v>271</v>
      </c>
      <c r="AM100" s="318" t="s">
        <v>271</v>
      </c>
      <c r="AN100" s="318" t="s">
        <v>271</v>
      </c>
      <c r="AO100" s="318" t="s">
        <v>271</v>
      </c>
      <c r="AP100" s="318" t="s">
        <v>271</v>
      </c>
      <c r="AQ100" s="318" t="s">
        <v>271</v>
      </c>
      <c r="AR100" s="318" t="s">
        <v>271</v>
      </c>
      <c r="AS100" s="318" t="s">
        <v>271</v>
      </c>
      <c r="AT100" s="318" t="s">
        <v>271</v>
      </c>
      <c r="AU100" s="318" t="s">
        <v>271</v>
      </c>
      <c r="AV100" s="318" t="s">
        <v>271</v>
      </c>
      <c r="AW100" s="318" t="s">
        <v>271</v>
      </c>
      <c r="AX100" s="318" t="s">
        <v>271</v>
      </c>
      <c r="AY100" s="318" t="s">
        <v>271</v>
      </c>
      <c r="AZ100" s="318" t="s">
        <v>271</v>
      </c>
    </row>
    <row r="101" spans="1:52" s="319" customFormat="1" ht="11.25" x14ac:dyDescent="0.2">
      <c r="A101" s="320" t="s">
        <v>271</v>
      </c>
      <c r="B101" s="322" t="s">
        <v>271</v>
      </c>
      <c r="C101" s="320" t="s">
        <v>271</v>
      </c>
      <c r="D101" s="320" t="s">
        <v>308</v>
      </c>
      <c r="E101" s="318">
        <v>0</v>
      </c>
      <c r="F101" s="318">
        <v>0</v>
      </c>
      <c r="G101" s="318">
        <v>0</v>
      </c>
      <c r="H101" s="318">
        <v>0</v>
      </c>
      <c r="I101" s="318">
        <v>0</v>
      </c>
      <c r="J101" s="318">
        <v>0</v>
      </c>
      <c r="K101" s="318">
        <v>0</v>
      </c>
      <c r="L101" s="318">
        <v>0</v>
      </c>
      <c r="M101" s="318">
        <v>0</v>
      </c>
      <c r="N101" s="318">
        <v>0</v>
      </c>
      <c r="O101" s="318">
        <v>0</v>
      </c>
      <c r="P101" s="318">
        <v>0</v>
      </c>
      <c r="Q101" s="318">
        <v>0</v>
      </c>
      <c r="R101" s="318">
        <v>0</v>
      </c>
      <c r="S101" s="318">
        <v>0</v>
      </c>
      <c r="T101" s="318">
        <v>0</v>
      </c>
      <c r="U101" s="318">
        <v>0</v>
      </c>
      <c r="V101" s="318">
        <v>0</v>
      </c>
      <c r="W101" s="318">
        <v>0</v>
      </c>
      <c r="X101" s="318" t="s">
        <v>271</v>
      </c>
      <c r="Y101" s="318" t="s">
        <v>271</v>
      </c>
      <c r="Z101" s="318" t="s">
        <v>271</v>
      </c>
      <c r="AA101" s="318" t="s">
        <v>271</v>
      </c>
      <c r="AB101" s="318" t="s">
        <v>271</v>
      </c>
      <c r="AC101" s="318" t="s">
        <v>271</v>
      </c>
      <c r="AD101" s="318" t="s">
        <v>271</v>
      </c>
      <c r="AE101" s="318" t="s">
        <v>271</v>
      </c>
      <c r="AF101" s="318" t="s">
        <v>271</v>
      </c>
      <c r="AG101" s="318" t="s">
        <v>271</v>
      </c>
      <c r="AH101" s="318" t="s">
        <v>271</v>
      </c>
      <c r="AI101" s="318" t="s">
        <v>271</v>
      </c>
      <c r="AJ101" s="318" t="s">
        <v>271</v>
      </c>
      <c r="AK101" s="318" t="s">
        <v>271</v>
      </c>
      <c r="AL101" s="318" t="s">
        <v>271</v>
      </c>
      <c r="AM101" s="318" t="s">
        <v>271</v>
      </c>
      <c r="AN101" s="318" t="s">
        <v>271</v>
      </c>
      <c r="AO101" s="318" t="s">
        <v>271</v>
      </c>
      <c r="AP101" s="318" t="s">
        <v>271</v>
      </c>
      <c r="AQ101" s="318" t="s">
        <v>271</v>
      </c>
      <c r="AR101" s="318" t="s">
        <v>271</v>
      </c>
      <c r="AS101" s="318" t="s">
        <v>271</v>
      </c>
      <c r="AT101" s="318" t="s">
        <v>271</v>
      </c>
      <c r="AU101" s="318" t="s">
        <v>271</v>
      </c>
      <c r="AV101" s="318" t="s">
        <v>271</v>
      </c>
      <c r="AW101" s="318" t="s">
        <v>271</v>
      </c>
      <c r="AX101" s="318" t="s">
        <v>271</v>
      </c>
      <c r="AY101" s="318" t="s">
        <v>271</v>
      </c>
      <c r="AZ101" s="318" t="s">
        <v>271</v>
      </c>
    </row>
    <row r="102" spans="1:52" s="319" customFormat="1" ht="11.25" x14ac:dyDescent="0.2">
      <c r="A102" s="320" t="s">
        <v>271</v>
      </c>
      <c r="B102" s="322" t="s">
        <v>271</v>
      </c>
      <c r="C102" s="320" t="s">
        <v>271</v>
      </c>
      <c r="D102" s="320" t="s">
        <v>309</v>
      </c>
      <c r="E102" s="318">
        <v>0</v>
      </c>
      <c r="F102" s="318">
        <v>0</v>
      </c>
      <c r="G102" s="318">
        <v>0</v>
      </c>
      <c r="H102" s="318">
        <v>0</v>
      </c>
      <c r="I102" s="318">
        <v>0</v>
      </c>
      <c r="J102" s="318">
        <v>0</v>
      </c>
      <c r="K102" s="318">
        <v>0</v>
      </c>
      <c r="L102" s="318">
        <v>0</v>
      </c>
      <c r="M102" s="318">
        <v>0</v>
      </c>
      <c r="N102" s="318">
        <v>0</v>
      </c>
      <c r="O102" s="318">
        <v>0</v>
      </c>
      <c r="P102" s="318">
        <v>0</v>
      </c>
      <c r="Q102" s="318">
        <v>0</v>
      </c>
      <c r="R102" s="318">
        <v>0</v>
      </c>
      <c r="S102" s="318">
        <v>0</v>
      </c>
      <c r="T102" s="318">
        <v>0</v>
      </c>
      <c r="U102" s="318">
        <v>0</v>
      </c>
      <c r="V102" s="318">
        <v>0</v>
      </c>
      <c r="W102" s="318">
        <v>0</v>
      </c>
      <c r="X102" s="318" t="s">
        <v>271</v>
      </c>
      <c r="Y102" s="318" t="s">
        <v>271</v>
      </c>
      <c r="Z102" s="318" t="s">
        <v>271</v>
      </c>
      <c r="AA102" s="318" t="s">
        <v>271</v>
      </c>
      <c r="AB102" s="318" t="s">
        <v>271</v>
      </c>
      <c r="AC102" s="318" t="s">
        <v>271</v>
      </c>
      <c r="AD102" s="318" t="s">
        <v>271</v>
      </c>
      <c r="AE102" s="318" t="s">
        <v>271</v>
      </c>
      <c r="AF102" s="318" t="s">
        <v>271</v>
      </c>
      <c r="AG102" s="318" t="s">
        <v>271</v>
      </c>
      <c r="AH102" s="318" t="s">
        <v>271</v>
      </c>
      <c r="AI102" s="318" t="s">
        <v>271</v>
      </c>
      <c r="AJ102" s="318" t="s">
        <v>271</v>
      </c>
      <c r="AK102" s="318" t="s">
        <v>271</v>
      </c>
      <c r="AL102" s="318" t="s">
        <v>271</v>
      </c>
      <c r="AM102" s="318" t="s">
        <v>271</v>
      </c>
      <c r="AN102" s="318" t="s">
        <v>271</v>
      </c>
      <c r="AO102" s="318" t="s">
        <v>271</v>
      </c>
      <c r="AP102" s="318" t="s">
        <v>271</v>
      </c>
      <c r="AQ102" s="318" t="s">
        <v>271</v>
      </c>
      <c r="AR102" s="318" t="s">
        <v>271</v>
      </c>
      <c r="AS102" s="318" t="s">
        <v>271</v>
      </c>
      <c r="AT102" s="318" t="s">
        <v>271</v>
      </c>
      <c r="AU102" s="318" t="s">
        <v>271</v>
      </c>
      <c r="AV102" s="318" t="s">
        <v>271</v>
      </c>
      <c r="AW102" s="318" t="s">
        <v>271</v>
      </c>
      <c r="AX102" s="318" t="s">
        <v>271</v>
      </c>
      <c r="AY102" s="318" t="s">
        <v>271</v>
      </c>
      <c r="AZ102" s="318" t="s">
        <v>271</v>
      </c>
    </row>
    <row r="103" spans="1:52" s="319" customFormat="1" ht="11.25" x14ac:dyDescent="0.2">
      <c r="A103" s="320" t="s">
        <v>271</v>
      </c>
      <c r="B103" s="322" t="s">
        <v>271</v>
      </c>
      <c r="C103" s="320" t="s">
        <v>271</v>
      </c>
      <c r="D103" s="320" t="s">
        <v>310</v>
      </c>
      <c r="E103" s="318">
        <v>0</v>
      </c>
      <c r="F103" s="318">
        <v>0</v>
      </c>
      <c r="G103" s="318">
        <v>0</v>
      </c>
      <c r="H103" s="318">
        <v>0</v>
      </c>
      <c r="I103" s="318">
        <v>0</v>
      </c>
      <c r="J103" s="318">
        <v>0</v>
      </c>
      <c r="K103" s="318">
        <v>0</v>
      </c>
      <c r="L103" s="318">
        <v>0</v>
      </c>
      <c r="M103" s="318">
        <v>0</v>
      </c>
      <c r="N103" s="318">
        <v>0</v>
      </c>
      <c r="O103" s="318">
        <v>0</v>
      </c>
      <c r="P103" s="318">
        <v>0</v>
      </c>
      <c r="Q103" s="318">
        <v>0</v>
      </c>
      <c r="R103" s="318">
        <v>0</v>
      </c>
      <c r="S103" s="318">
        <v>0</v>
      </c>
      <c r="T103" s="318">
        <v>0</v>
      </c>
      <c r="U103" s="318">
        <v>0</v>
      </c>
      <c r="V103" s="318">
        <v>0</v>
      </c>
      <c r="W103" s="318">
        <v>0</v>
      </c>
      <c r="X103" s="318" t="s">
        <v>271</v>
      </c>
      <c r="Y103" s="318" t="s">
        <v>271</v>
      </c>
      <c r="Z103" s="318" t="s">
        <v>271</v>
      </c>
      <c r="AA103" s="318" t="s">
        <v>271</v>
      </c>
      <c r="AB103" s="318" t="s">
        <v>271</v>
      </c>
      <c r="AC103" s="318" t="s">
        <v>271</v>
      </c>
      <c r="AD103" s="318" t="s">
        <v>271</v>
      </c>
      <c r="AE103" s="318" t="s">
        <v>271</v>
      </c>
      <c r="AF103" s="318" t="s">
        <v>271</v>
      </c>
      <c r="AG103" s="318" t="s">
        <v>271</v>
      </c>
      <c r="AH103" s="318" t="s">
        <v>271</v>
      </c>
      <c r="AI103" s="318" t="s">
        <v>271</v>
      </c>
      <c r="AJ103" s="318" t="s">
        <v>271</v>
      </c>
      <c r="AK103" s="318" t="s">
        <v>271</v>
      </c>
      <c r="AL103" s="318" t="s">
        <v>271</v>
      </c>
      <c r="AM103" s="318" t="s">
        <v>271</v>
      </c>
      <c r="AN103" s="318" t="s">
        <v>271</v>
      </c>
      <c r="AO103" s="318" t="s">
        <v>271</v>
      </c>
      <c r="AP103" s="318" t="s">
        <v>271</v>
      </c>
      <c r="AQ103" s="318" t="s">
        <v>271</v>
      </c>
      <c r="AR103" s="318" t="s">
        <v>271</v>
      </c>
      <c r="AS103" s="318" t="s">
        <v>271</v>
      </c>
      <c r="AT103" s="318" t="s">
        <v>271</v>
      </c>
      <c r="AU103" s="318" t="s">
        <v>271</v>
      </c>
      <c r="AV103" s="318" t="s">
        <v>271</v>
      </c>
      <c r="AW103" s="318" t="s">
        <v>271</v>
      </c>
      <c r="AX103" s="318" t="s">
        <v>271</v>
      </c>
      <c r="AY103" s="318" t="s">
        <v>271</v>
      </c>
      <c r="AZ103" s="318" t="s">
        <v>271</v>
      </c>
    </row>
    <row r="104" spans="1:52" s="319" customFormat="1" ht="11.25" x14ac:dyDescent="0.2">
      <c r="A104" s="320" t="s">
        <v>271</v>
      </c>
      <c r="B104" s="322" t="s">
        <v>271</v>
      </c>
      <c r="C104" s="320" t="s">
        <v>271</v>
      </c>
      <c r="D104" s="320" t="s">
        <v>311</v>
      </c>
      <c r="E104" s="318">
        <v>0</v>
      </c>
      <c r="F104" s="318">
        <v>0</v>
      </c>
      <c r="G104" s="318">
        <v>0</v>
      </c>
      <c r="H104" s="318">
        <v>0</v>
      </c>
      <c r="I104" s="318">
        <v>0</v>
      </c>
      <c r="J104" s="318">
        <v>0</v>
      </c>
      <c r="K104" s="318">
        <v>0</v>
      </c>
      <c r="L104" s="318">
        <v>0</v>
      </c>
      <c r="M104" s="318">
        <v>0</v>
      </c>
      <c r="N104" s="318">
        <v>0</v>
      </c>
      <c r="O104" s="318">
        <v>0</v>
      </c>
      <c r="P104" s="318">
        <v>0</v>
      </c>
      <c r="Q104" s="318">
        <v>0</v>
      </c>
      <c r="R104" s="318">
        <v>0</v>
      </c>
      <c r="S104" s="318">
        <v>0</v>
      </c>
      <c r="T104" s="318">
        <v>0</v>
      </c>
      <c r="U104" s="318">
        <v>0</v>
      </c>
      <c r="V104" s="318">
        <v>0</v>
      </c>
      <c r="W104" s="318">
        <v>0</v>
      </c>
      <c r="X104" s="318" t="s">
        <v>271</v>
      </c>
      <c r="Y104" s="318" t="s">
        <v>271</v>
      </c>
      <c r="Z104" s="318" t="s">
        <v>271</v>
      </c>
      <c r="AA104" s="318" t="s">
        <v>271</v>
      </c>
      <c r="AB104" s="318" t="s">
        <v>271</v>
      </c>
      <c r="AC104" s="318" t="s">
        <v>271</v>
      </c>
      <c r="AD104" s="318" t="s">
        <v>271</v>
      </c>
      <c r="AE104" s="318" t="s">
        <v>271</v>
      </c>
      <c r="AF104" s="318" t="s">
        <v>271</v>
      </c>
      <c r="AG104" s="318" t="s">
        <v>271</v>
      </c>
      <c r="AH104" s="318" t="s">
        <v>271</v>
      </c>
      <c r="AI104" s="318" t="s">
        <v>271</v>
      </c>
      <c r="AJ104" s="318" t="s">
        <v>271</v>
      </c>
      <c r="AK104" s="318" t="s">
        <v>271</v>
      </c>
      <c r="AL104" s="318" t="s">
        <v>271</v>
      </c>
      <c r="AM104" s="318" t="s">
        <v>271</v>
      </c>
      <c r="AN104" s="318" t="s">
        <v>271</v>
      </c>
      <c r="AO104" s="318" t="s">
        <v>271</v>
      </c>
      <c r="AP104" s="318" t="s">
        <v>271</v>
      </c>
      <c r="AQ104" s="318" t="s">
        <v>271</v>
      </c>
      <c r="AR104" s="318" t="s">
        <v>271</v>
      </c>
      <c r="AS104" s="318" t="s">
        <v>271</v>
      </c>
      <c r="AT104" s="318" t="s">
        <v>271</v>
      </c>
      <c r="AU104" s="318" t="s">
        <v>271</v>
      </c>
      <c r="AV104" s="318" t="s">
        <v>271</v>
      </c>
      <c r="AW104" s="318" t="s">
        <v>271</v>
      </c>
      <c r="AX104" s="318" t="s">
        <v>271</v>
      </c>
      <c r="AY104" s="318" t="s">
        <v>271</v>
      </c>
      <c r="AZ104" s="318" t="s">
        <v>271</v>
      </c>
    </row>
    <row r="105" spans="1:52" s="319" customFormat="1" ht="11.25" x14ac:dyDescent="0.2">
      <c r="A105" s="320" t="s">
        <v>271</v>
      </c>
      <c r="B105" s="322" t="s">
        <v>271</v>
      </c>
      <c r="C105" s="320" t="s">
        <v>271</v>
      </c>
      <c r="D105" s="320" t="s">
        <v>312</v>
      </c>
      <c r="E105" s="318">
        <v>73</v>
      </c>
      <c r="F105" s="318">
        <v>74</v>
      </c>
      <c r="G105" s="318">
        <v>0</v>
      </c>
      <c r="H105" s="318">
        <v>0</v>
      </c>
      <c r="I105" s="318">
        <v>0</v>
      </c>
      <c r="J105" s="318">
        <v>0</v>
      </c>
      <c r="K105" s="318">
        <v>0</v>
      </c>
      <c r="L105" s="318">
        <v>0</v>
      </c>
      <c r="M105" s="318">
        <v>0</v>
      </c>
      <c r="N105" s="318">
        <v>0</v>
      </c>
      <c r="O105" s="318">
        <v>0</v>
      </c>
      <c r="P105" s="318">
        <v>0</v>
      </c>
      <c r="Q105" s="318">
        <v>0</v>
      </c>
      <c r="R105" s="318">
        <v>0</v>
      </c>
      <c r="S105" s="318">
        <v>0</v>
      </c>
      <c r="T105" s="318">
        <v>0</v>
      </c>
      <c r="U105" s="318">
        <v>0</v>
      </c>
      <c r="V105" s="318">
        <v>0</v>
      </c>
      <c r="W105" s="318">
        <v>-1.4630000000000001</v>
      </c>
      <c r="X105" s="318" t="s">
        <v>271</v>
      </c>
      <c r="Y105" s="318" t="s">
        <v>271</v>
      </c>
      <c r="Z105" s="318" t="s">
        <v>271</v>
      </c>
      <c r="AA105" s="318" t="s">
        <v>271</v>
      </c>
      <c r="AB105" s="318" t="s">
        <v>271</v>
      </c>
      <c r="AC105" s="318" t="s">
        <v>271</v>
      </c>
      <c r="AD105" s="318" t="s">
        <v>271</v>
      </c>
      <c r="AE105" s="318" t="s">
        <v>271</v>
      </c>
      <c r="AF105" s="318" t="s">
        <v>271</v>
      </c>
      <c r="AG105" s="318" t="s">
        <v>271</v>
      </c>
      <c r="AH105" s="318" t="s">
        <v>271</v>
      </c>
      <c r="AI105" s="318" t="s">
        <v>271</v>
      </c>
      <c r="AJ105" s="318" t="s">
        <v>271</v>
      </c>
      <c r="AK105" s="318" t="s">
        <v>271</v>
      </c>
      <c r="AL105" s="318" t="s">
        <v>271</v>
      </c>
      <c r="AM105" s="318" t="s">
        <v>271</v>
      </c>
      <c r="AN105" s="318" t="s">
        <v>271</v>
      </c>
      <c r="AO105" s="318" t="s">
        <v>271</v>
      </c>
      <c r="AP105" s="318" t="s">
        <v>271</v>
      </c>
      <c r="AQ105" s="318" t="s">
        <v>271</v>
      </c>
      <c r="AR105" s="318" t="s">
        <v>271</v>
      </c>
      <c r="AS105" s="318" t="s">
        <v>271</v>
      </c>
      <c r="AT105" s="318" t="s">
        <v>271</v>
      </c>
      <c r="AU105" s="318" t="s">
        <v>271</v>
      </c>
      <c r="AV105" s="318" t="s">
        <v>271</v>
      </c>
      <c r="AW105" s="318" t="s">
        <v>271</v>
      </c>
      <c r="AX105" s="318" t="s">
        <v>271</v>
      </c>
      <c r="AY105" s="318" t="s">
        <v>271</v>
      </c>
      <c r="AZ105" s="318" t="s">
        <v>271</v>
      </c>
    </row>
    <row r="106" spans="1:52" s="319" customFormat="1" ht="11.25" x14ac:dyDescent="0.2">
      <c r="A106" s="320" t="s">
        <v>271</v>
      </c>
      <c r="B106" s="322" t="s">
        <v>271</v>
      </c>
      <c r="C106" s="320" t="s">
        <v>271</v>
      </c>
      <c r="D106" s="320" t="s">
        <v>313</v>
      </c>
      <c r="E106" s="318">
        <v>0</v>
      </c>
      <c r="F106" s="318">
        <v>0</v>
      </c>
      <c r="G106" s="318">
        <v>0</v>
      </c>
      <c r="H106" s="318">
        <v>0</v>
      </c>
      <c r="I106" s="318">
        <v>0</v>
      </c>
      <c r="J106" s="318">
        <v>0</v>
      </c>
      <c r="K106" s="318">
        <v>0</v>
      </c>
      <c r="L106" s="318">
        <v>0</v>
      </c>
      <c r="M106" s="318">
        <v>0</v>
      </c>
      <c r="N106" s="318">
        <v>0</v>
      </c>
      <c r="O106" s="318">
        <v>0</v>
      </c>
      <c r="P106" s="318">
        <v>0</v>
      </c>
      <c r="Q106" s="318">
        <v>0</v>
      </c>
      <c r="R106" s="318">
        <v>0</v>
      </c>
      <c r="S106" s="318">
        <v>0</v>
      </c>
      <c r="T106" s="318">
        <v>0</v>
      </c>
      <c r="U106" s="318">
        <v>0</v>
      </c>
      <c r="V106" s="318">
        <v>0</v>
      </c>
      <c r="W106" s="318">
        <v>0</v>
      </c>
      <c r="X106" s="318" t="s">
        <v>271</v>
      </c>
      <c r="Y106" s="318" t="s">
        <v>271</v>
      </c>
      <c r="Z106" s="318" t="s">
        <v>271</v>
      </c>
      <c r="AA106" s="318" t="s">
        <v>271</v>
      </c>
      <c r="AB106" s="318" t="s">
        <v>271</v>
      </c>
      <c r="AC106" s="318" t="s">
        <v>271</v>
      </c>
      <c r="AD106" s="318" t="s">
        <v>271</v>
      </c>
      <c r="AE106" s="318" t="s">
        <v>271</v>
      </c>
      <c r="AF106" s="318" t="s">
        <v>271</v>
      </c>
      <c r="AG106" s="318" t="s">
        <v>271</v>
      </c>
      <c r="AH106" s="318" t="s">
        <v>271</v>
      </c>
      <c r="AI106" s="318" t="s">
        <v>271</v>
      </c>
      <c r="AJ106" s="318" t="s">
        <v>271</v>
      </c>
      <c r="AK106" s="318" t="s">
        <v>271</v>
      </c>
      <c r="AL106" s="318" t="s">
        <v>271</v>
      </c>
      <c r="AM106" s="318" t="s">
        <v>271</v>
      </c>
      <c r="AN106" s="318" t="s">
        <v>271</v>
      </c>
      <c r="AO106" s="318" t="s">
        <v>271</v>
      </c>
      <c r="AP106" s="318" t="s">
        <v>271</v>
      </c>
      <c r="AQ106" s="318" t="s">
        <v>271</v>
      </c>
      <c r="AR106" s="318" t="s">
        <v>271</v>
      </c>
      <c r="AS106" s="318" t="s">
        <v>271</v>
      </c>
      <c r="AT106" s="318" t="s">
        <v>271</v>
      </c>
      <c r="AU106" s="318" t="s">
        <v>271</v>
      </c>
      <c r="AV106" s="318" t="s">
        <v>271</v>
      </c>
      <c r="AW106" s="318" t="s">
        <v>271</v>
      </c>
      <c r="AX106" s="318" t="s">
        <v>271</v>
      </c>
      <c r="AY106" s="318" t="s">
        <v>271</v>
      </c>
      <c r="AZ106" s="318" t="s">
        <v>271</v>
      </c>
    </row>
    <row r="107" spans="1:52" s="319" customFormat="1" ht="11.25" x14ac:dyDescent="0.2">
      <c r="A107" s="320" t="s">
        <v>271</v>
      </c>
      <c r="B107" s="322" t="s">
        <v>271</v>
      </c>
      <c r="C107" s="320" t="s">
        <v>271</v>
      </c>
      <c r="D107" s="320" t="s">
        <v>271</v>
      </c>
      <c r="E107" s="318" t="s">
        <v>271</v>
      </c>
      <c r="F107" s="318" t="s">
        <v>271</v>
      </c>
      <c r="G107" s="318" t="s">
        <v>271</v>
      </c>
      <c r="H107" s="318" t="s">
        <v>271</v>
      </c>
      <c r="I107" s="318" t="s">
        <v>271</v>
      </c>
      <c r="J107" s="318" t="s">
        <v>271</v>
      </c>
      <c r="K107" s="318" t="s">
        <v>271</v>
      </c>
      <c r="L107" s="318" t="s">
        <v>271</v>
      </c>
      <c r="M107" s="318" t="s">
        <v>271</v>
      </c>
      <c r="N107" s="318" t="s">
        <v>271</v>
      </c>
      <c r="O107" s="318" t="s">
        <v>271</v>
      </c>
      <c r="P107" s="318" t="s">
        <v>271</v>
      </c>
      <c r="Q107" s="318" t="s">
        <v>271</v>
      </c>
      <c r="R107" s="318" t="s">
        <v>271</v>
      </c>
      <c r="S107" s="318" t="s">
        <v>271</v>
      </c>
      <c r="T107" s="318" t="s">
        <v>271</v>
      </c>
      <c r="U107" s="318" t="s">
        <v>271</v>
      </c>
      <c r="V107" s="318" t="s">
        <v>271</v>
      </c>
      <c r="W107" s="318" t="s">
        <v>271</v>
      </c>
      <c r="X107" s="318" t="s">
        <v>271</v>
      </c>
      <c r="Y107" s="318" t="s">
        <v>271</v>
      </c>
      <c r="Z107" s="318" t="s">
        <v>271</v>
      </c>
      <c r="AA107" s="318" t="s">
        <v>271</v>
      </c>
      <c r="AB107" s="318" t="s">
        <v>271</v>
      </c>
      <c r="AC107" s="318" t="s">
        <v>271</v>
      </c>
      <c r="AD107" s="318" t="s">
        <v>271</v>
      </c>
      <c r="AE107" s="318" t="s">
        <v>271</v>
      </c>
      <c r="AF107" s="318" t="s">
        <v>271</v>
      </c>
      <c r="AG107" s="318" t="s">
        <v>271</v>
      </c>
      <c r="AH107" s="318" t="s">
        <v>271</v>
      </c>
      <c r="AI107" s="318" t="s">
        <v>271</v>
      </c>
      <c r="AJ107" s="318" t="s">
        <v>271</v>
      </c>
      <c r="AK107" s="318" t="s">
        <v>271</v>
      </c>
      <c r="AL107" s="318" t="s">
        <v>271</v>
      </c>
      <c r="AM107" s="318" t="s">
        <v>271</v>
      </c>
      <c r="AN107" s="318" t="s">
        <v>271</v>
      </c>
      <c r="AO107" s="318" t="s">
        <v>271</v>
      </c>
      <c r="AP107" s="318" t="s">
        <v>271</v>
      </c>
      <c r="AQ107" s="318" t="s">
        <v>271</v>
      </c>
      <c r="AR107" s="318" t="s">
        <v>271</v>
      </c>
      <c r="AS107" s="318" t="s">
        <v>271</v>
      </c>
      <c r="AT107" s="318" t="s">
        <v>271</v>
      </c>
      <c r="AU107" s="318" t="s">
        <v>271</v>
      </c>
      <c r="AV107" s="318" t="s">
        <v>271</v>
      </c>
      <c r="AW107" s="318" t="s">
        <v>271</v>
      </c>
      <c r="AX107" s="318" t="s">
        <v>271</v>
      </c>
      <c r="AY107" s="318" t="s">
        <v>271</v>
      </c>
      <c r="AZ107" s="318" t="s">
        <v>271</v>
      </c>
    </row>
    <row r="108" spans="1:52" s="319" customFormat="1" ht="11.25" x14ac:dyDescent="0.2">
      <c r="A108" s="320" t="s">
        <v>271</v>
      </c>
      <c r="B108" s="322" t="s">
        <v>271</v>
      </c>
      <c r="C108" s="320" t="s">
        <v>271</v>
      </c>
      <c r="D108" s="320" t="s">
        <v>314</v>
      </c>
      <c r="E108" s="318">
        <v>1620</v>
      </c>
      <c r="F108" s="318">
        <v>1528</v>
      </c>
      <c r="G108" s="318">
        <v>0</v>
      </c>
      <c r="H108" s="318">
        <v>0</v>
      </c>
      <c r="I108" s="318">
        <v>0</v>
      </c>
      <c r="J108" s="318">
        <v>0</v>
      </c>
      <c r="K108" s="318">
        <v>0</v>
      </c>
      <c r="L108" s="318">
        <v>0</v>
      </c>
      <c r="M108" s="318">
        <v>0</v>
      </c>
      <c r="N108" s="318">
        <v>0</v>
      </c>
      <c r="O108" s="318">
        <v>0</v>
      </c>
      <c r="P108" s="318">
        <v>0</v>
      </c>
      <c r="Q108" s="318">
        <v>0</v>
      </c>
      <c r="R108" s="318">
        <v>0</v>
      </c>
      <c r="S108" s="318">
        <v>0</v>
      </c>
      <c r="T108" s="318">
        <v>122</v>
      </c>
      <c r="U108" s="318">
        <v>0</v>
      </c>
      <c r="V108" s="318">
        <v>0</v>
      </c>
      <c r="W108" s="318">
        <v>-30</v>
      </c>
      <c r="X108" s="318" t="s">
        <v>271</v>
      </c>
      <c r="Y108" s="318" t="s">
        <v>271</v>
      </c>
      <c r="Z108" s="318" t="s">
        <v>271</v>
      </c>
      <c r="AA108" s="318" t="s">
        <v>271</v>
      </c>
      <c r="AB108" s="318" t="s">
        <v>271</v>
      </c>
      <c r="AC108" s="318" t="s">
        <v>271</v>
      </c>
      <c r="AD108" s="318" t="s">
        <v>271</v>
      </c>
      <c r="AE108" s="318" t="s">
        <v>271</v>
      </c>
      <c r="AF108" s="318" t="s">
        <v>271</v>
      </c>
      <c r="AG108" s="318" t="s">
        <v>271</v>
      </c>
      <c r="AH108" s="318" t="s">
        <v>271</v>
      </c>
      <c r="AI108" s="318" t="s">
        <v>271</v>
      </c>
      <c r="AJ108" s="318" t="s">
        <v>271</v>
      </c>
      <c r="AK108" s="318" t="s">
        <v>271</v>
      </c>
      <c r="AL108" s="318" t="s">
        <v>271</v>
      </c>
      <c r="AM108" s="318" t="s">
        <v>271</v>
      </c>
      <c r="AN108" s="318" t="s">
        <v>271</v>
      </c>
      <c r="AO108" s="318" t="s">
        <v>271</v>
      </c>
      <c r="AP108" s="318" t="s">
        <v>271</v>
      </c>
      <c r="AQ108" s="318" t="s">
        <v>271</v>
      </c>
      <c r="AR108" s="318" t="s">
        <v>271</v>
      </c>
      <c r="AS108" s="318" t="s">
        <v>271</v>
      </c>
      <c r="AT108" s="318" t="s">
        <v>271</v>
      </c>
      <c r="AU108" s="318" t="s">
        <v>271</v>
      </c>
      <c r="AV108" s="318" t="s">
        <v>271</v>
      </c>
      <c r="AW108" s="318" t="s">
        <v>271</v>
      </c>
      <c r="AX108" s="318" t="s">
        <v>271</v>
      </c>
      <c r="AY108" s="318" t="s">
        <v>271</v>
      </c>
      <c r="AZ108" s="318" t="s">
        <v>271</v>
      </c>
    </row>
    <row r="109" spans="1:52" s="7" customFormat="1" x14ac:dyDescent="0.25">
      <c r="A109" s="65"/>
      <c r="B109" s="66"/>
      <c r="C109" s="53"/>
      <c r="D109" s="53"/>
      <c r="E109" s="53"/>
      <c r="F109" s="53"/>
      <c r="G109" s="53"/>
      <c r="H109" s="53"/>
      <c r="I109" s="53"/>
      <c r="J109" s="53"/>
      <c r="K109" s="53"/>
      <c r="L109" s="49"/>
      <c r="M109" s="49"/>
      <c r="N109" s="49"/>
      <c r="O109" s="49"/>
      <c r="P109" s="49"/>
      <c r="Q109" s="49"/>
      <c r="R109" s="49"/>
      <c r="S109" s="49"/>
      <c r="T109" s="49"/>
      <c r="U109" s="49"/>
      <c r="V109" s="49"/>
    </row>
    <row r="110" spans="1:52" s="319" customFormat="1" ht="11.25" x14ac:dyDescent="0.2">
      <c r="A110" s="315" t="s">
        <v>270</v>
      </c>
      <c r="B110" s="316" t="s">
        <v>271</v>
      </c>
      <c r="C110" s="315" t="s">
        <v>271</v>
      </c>
      <c r="D110" s="315" t="s">
        <v>271</v>
      </c>
      <c r="E110" s="317" t="s">
        <v>271</v>
      </c>
      <c r="F110" s="318" t="s">
        <v>271</v>
      </c>
      <c r="G110" s="318" t="s">
        <v>271</v>
      </c>
      <c r="H110" s="318" t="s">
        <v>271</v>
      </c>
      <c r="I110" s="318" t="s">
        <v>271</v>
      </c>
      <c r="J110" s="318" t="s">
        <v>271</v>
      </c>
      <c r="K110" s="318" t="s">
        <v>271</v>
      </c>
      <c r="L110" s="318" t="s">
        <v>271</v>
      </c>
      <c r="M110" s="318" t="s">
        <v>271</v>
      </c>
      <c r="N110" s="318" t="s">
        <v>271</v>
      </c>
      <c r="O110" s="318" t="s">
        <v>271</v>
      </c>
      <c r="P110" s="318" t="s">
        <v>271</v>
      </c>
      <c r="Q110" s="318" t="s">
        <v>271</v>
      </c>
      <c r="R110" s="318" t="s">
        <v>271</v>
      </c>
      <c r="S110" s="318" t="s">
        <v>271</v>
      </c>
      <c r="T110" s="318" t="s">
        <v>271</v>
      </c>
      <c r="U110" s="318" t="s">
        <v>271</v>
      </c>
      <c r="V110" s="318" t="s">
        <v>271</v>
      </c>
      <c r="W110" s="318" t="s">
        <v>271</v>
      </c>
      <c r="X110" s="318" t="s">
        <v>271</v>
      </c>
      <c r="Y110" s="318" t="s">
        <v>271</v>
      </c>
      <c r="Z110" s="318" t="s">
        <v>271</v>
      </c>
      <c r="AA110" s="318" t="s">
        <v>271</v>
      </c>
      <c r="AB110" s="318" t="s">
        <v>271</v>
      </c>
      <c r="AC110" s="318" t="s">
        <v>271</v>
      </c>
      <c r="AD110" s="318" t="s">
        <v>271</v>
      </c>
      <c r="AE110" s="318" t="s">
        <v>271</v>
      </c>
      <c r="AF110" s="318" t="s">
        <v>271</v>
      </c>
      <c r="AG110" s="318" t="s">
        <v>271</v>
      </c>
      <c r="AH110" s="318" t="s">
        <v>271</v>
      </c>
      <c r="AI110" s="318" t="s">
        <v>271</v>
      </c>
      <c r="AJ110" s="318" t="s">
        <v>271</v>
      </c>
      <c r="AK110" s="318" t="s">
        <v>271</v>
      </c>
      <c r="AL110" s="318" t="s">
        <v>271</v>
      </c>
      <c r="AM110" s="318" t="s">
        <v>271</v>
      </c>
      <c r="AN110" s="318" t="s">
        <v>271</v>
      </c>
      <c r="AO110" s="318" t="s">
        <v>271</v>
      </c>
      <c r="AP110" s="318" t="s">
        <v>271</v>
      </c>
      <c r="AQ110" s="318" t="s">
        <v>271</v>
      </c>
      <c r="AR110" s="318" t="s">
        <v>271</v>
      </c>
      <c r="AS110" s="318" t="s">
        <v>271</v>
      </c>
      <c r="AT110" s="318" t="s">
        <v>271</v>
      </c>
      <c r="AU110" s="318" t="s">
        <v>271</v>
      </c>
      <c r="AV110" s="318" t="s">
        <v>271</v>
      </c>
      <c r="AW110" s="318" t="s">
        <v>271</v>
      </c>
      <c r="AX110" s="318" t="s">
        <v>271</v>
      </c>
      <c r="AY110" s="318" t="s">
        <v>271</v>
      </c>
      <c r="AZ110" s="318" t="s">
        <v>271</v>
      </c>
    </row>
    <row r="111" spans="1:52" s="319" customFormat="1" ht="11.25" x14ac:dyDescent="0.2">
      <c r="A111" s="315" t="s">
        <v>318</v>
      </c>
      <c r="B111" s="316" t="s">
        <v>271</v>
      </c>
      <c r="C111" s="315" t="s">
        <v>271</v>
      </c>
      <c r="D111" s="315" t="s">
        <v>271</v>
      </c>
      <c r="E111" s="317" t="s">
        <v>271</v>
      </c>
      <c r="F111" s="318" t="s">
        <v>271</v>
      </c>
      <c r="G111" s="318" t="s">
        <v>271</v>
      </c>
      <c r="H111" s="318" t="s">
        <v>271</v>
      </c>
      <c r="I111" s="318" t="s">
        <v>271</v>
      </c>
      <c r="J111" s="318" t="s">
        <v>271</v>
      </c>
      <c r="K111" s="318" t="s">
        <v>271</v>
      </c>
      <c r="L111" s="318" t="s">
        <v>271</v>
      </c>
      <c r="M111" s="318" t="s">
        <v>271</v>
      </c>
      <c r="N111" s="318" t="s">
        <v>271</v>
      </c>
      <c r="O111" s="318" t="s">
        <v>271</v>
      </c>
      <c r="P111" s="318" t="s">
        <v>271</v>
      </c>
      <c r="Q111" s="318" t="s">
        <v>271</v>
      </c>
      <c r="R111" s="318" t="s">
        <v>271</v>
      </c>
      <c r="S111" s="318" t="s">
        <v>271</v>
      </c>
      <c r="T111" s="318" t="s">
        <v>271</v>
      </c>
      <c r="U111" s="318" t="s">
        <v>271</v>
      </c>
      <c r="V111" s="318" t="s">
        <v>271</v>
      </c>
      <c r="W111" s="318" t="s">
        <v>271</v>
      </c>
      <c r="X111" s="318" t="s">
        <v>271</v>
      </c>
      <c r="Y111" s="318" t="s">
        <v>271</v>
      </c>
      <c r="Z111" s="318" t="s">
        <v>271</v>
      </c>
      <c r="AA111" s="318" t="s">
        <v>271</v>
      </c>
      <c r="AB111" s="318" t="s">
        <v>271</v>
      </c>
      <c r="AC111" s="318" t="s">
        <v>271</v>
      </c>
      <c r="AD111" s="318" t="s">
        <v>271</v>
      </c>
      <c r="AE111" s="318" t="s">
        <v>271</v>
      </c>
      <c r="AF111" s="318" t="s">
        <v>271</v>
      </c>
      <c r="AG111" s="318" t="s">
        <v>271</v>
      </c>
      <c r="AH111" s="318" t="s">
        <v>271</v>
      </c>
      <c r="AI111" s="318" t="s">
        <v>271</v>
      </c>
      <c r="AJ111" s="318" t="s">
        <v>271</v>
      </c>
      <c r="AK111" s="318" t="s">
        <v>271</v>
      </c>
      <c r="AL111" s="318" t="s">
        <v>271</v>
      </c>
      <c r="AM111" s="318" t="s">
        <v>271</v>
      </c>
      <c r="AN111" s="318" t="s">
        <v>271</v>
      </c>
      <c r="AO111" s="318" t="s">
        <v>271</v>
      </c>
      <c r="AP111" s="318" t="s">
        <v>271</v>
      </c>
      <c r="AQ111" s="318" t="s">
        <v>271</v>
      </c>
      <c r="AR111" s="318" t="s">
        <v>271</v>
      </c>
      <c r="AS111" s="318" t="s">
        <v>271</v>
      </c>
      <c r="AT111" s="318" t="s">
        <v>271</v>
      </c>
      <c r="AU111" s="318" t="s">
        <v>271</v>
      </c>
      <c r="AV111" s="318" t="s">
        <v>271</v>
      </c>
      <c r="AW111" s="318" t="s">
        <v>271</v>
      </c>
      <c r="AX111" s="318" t="s">
        <v>271</v>
      </c>
      <c r="AY111" s="318" t="s">
        <v>271</v>
      </c>
      <c r="AZ111" s="318" t="s">
        <v>271</v>
      </c>
    </row>
    <row r="112" spans="1:52" s="319" customFormat="1" ht="11.25" x14ac:dyDescent="0.2">
      <c r="A112" s="315" t="s">
        <v>130</v>
      </c>
      <c r="B112" s="316" t="s">
        <v>271</v>
      </c>
      <c r="C112" s="315" t="s">
        <v>271</v>
      </c>
      <c r="D112" s="315" t="s">
        <v>271</v>
      </c>
      <c r="E112" s="317" t="s">
        <v>271</v>
      </c>
      <c r="F112" s="318" t="s">
        <v>271</v>
      </c>
      <c r="G112" s="318" t="s">
        <v>271</v>
      </c>
      <c r="H112" s="318" t="s">
        <v>271</v>
      </c>
      <c r="I112" s="318" t="s">
        <v>271</v>
      </c>
      <c r="J112" s="318" t="s">
        <v>271</v>
      </c>
      <c r="K112" s="318" t="s">
        <v>271</v>
      </c>
      <c r="L112" s="318" t="s">
        <v>271</v>
      </c>
      <c r="M112" s="318" t="s">
        <v>271</v>
      </c>
      <c r="N112" s="318" t="s">
        <v>271</v>
      </c>
      <c r="O112" s="318" t="s">
        <v>271</v>
      </c>
      <c r="P112" s="318" t="s">
        <v>271</v>
      </c>
      <c r="Q112" s="318" t="s">
        <v>271</v>
      </c>
      <c r="R112" s="318" t="s">
        <v>271</v>
      </c>
      <c r="S112" s="318" t="s">
        <v>271</v>
      </c>
      <c r="T112" s="318" t="s">
        <v>271</v>
      </c>
      <c r="U112" s="318" t="s">
        <v>271</v>
      </c>
      <c r="V112" s="318" t="s">
        <v>271</v>
      </c>
      <c r="W112" s="318" t="s">
        <v>271</v>
      </c>
      <c r="X112" s="318" t="s">
        <v>271</v>
      </c>
      <c r="Y112" s="318" t="s">
        <v>271</v>
      </c>
      <c r="Z112" s="318" t="s">
        <v>271</v>
      </c>
      <c r="AA112" s="318" t="s">
        <v>271</v>
      </c>
      <c r="AB112" s="318" t="s">
        <v>271</v>
      </c>
      <c r="AC112" s="318" t="s">
        <v>271</v>
      </c>
      <c r="AD112" s="318" t="s">
        <v>271</v>
      </c>
      <c r="AE112" s="318" t="s">
        <v>271</v>
      </c>
      <c r="AF112" s="318" t="s">
        <v>271</v>
      </c>
      <c r="AG112" s="318" t="s">
        <v>271</v>
      </c>
      <c r="AH112" s="318" t="s">
        <v>271</v>
      </c>
      <c r="AI112" s="318" t="s">
        <v>271</v>
      </c>
      <c r="AJ112" s="318" t="s">
        <v>271</v>
      </c>
      <c r="AK112" s="318" t="s">
        <v>271</v>
      </c>
      <c r="AL112" s="318" t="s">
        <v>271</v>
      </c>
      <c r="AM112" s="318" t="s">
        <v>271</v>
      </c>
      <c r="AN112" s="318" t="s">
        <v>271</v>
      </c>
      <c r="AO112" s="318" t="s">
        <v>271</v>
      </c>
      <c r="AP112" s="318" t="s">
        <v>271</v>
      </c>
      <c r="AQ112" s="318" t="s">
        <v>271</v>
      </c>
      <c r="AR112" s="318" t="s">
        <v>271</v>
      </c>
      <c r="AS112" s="318" t="s">
        <v>271</v>
      </c>
      <c r="AT112" s="318" t="s">
        <v>271</v>
      </c>
      <c r="AU112" s="318" t="s">
        <v>271</v>
      </c>
      <c r="AV112" s="318" t="s">
        <v>271</v>
      </c>
      <c r="AW112" s="318" t="s">
        <v>271</v>
      </c>
      <c r="AX112" s="318" t="s">
        <v>271</v>
      </c>
      <c r="AY112" s="318" t="s">
        <v>271</v>
      </c>
      <c r="AZ112" s="318" t="s">
        <v>271</v>
      </c>
    </row>
    <row r="113" spans="1:52" s="319" customFormat="1" ht="11.25" x14ac:dyDescent="0.2">
      <c r="A113" s="315" t="s">
        <v>271</v>
      </c>
      <c r="B113" s="316" t="s">
        <v>271</v>
      </c>
      <c r="C113" s="315" t="s">
        <v>271</v>
      </c>
      <c r="D113" s="315" t="s">
        <v>271</v>
      </c>
      <c r="E113" s="317" t="s">
        <v>274</v>
      </c>
      <c r="F113" s="318" t="s">
        <v>271</v>
      </c>
      <c r="G113" s="318" t="s">
        <v>271</v>
      </c>
      <c r="H113" s="318" t="s">
        <v>271</v>
      </c>
      <c r="I113" s="318" t="s">
        <v>271</v>
      </c>
      <c r="J113" s="318" t="s">
        <v>271</v>
      </c>
      <c r="K113" s="318" t="s">
        <v>271</v>
      </c>
      <c r="L113" s="318" t="s">
        <v>271</v>
      </c>
      <c r="M113" s="318" t="s">
        <v>271</v>
      </c>
      <c r="N113" s="318" t="s">
        <v>271</v>
      </c>
      <c r="O113" s="318" t="s">
        <v>271</v>
      </c>
      <c r="P113" s="318" t="s">
        <v>271</v>
      </c>
      <c r="Q113" s="318" t="s">
        <v>271</v>
      </c>
      <c r="R113" s="318" t="s">
        <v>271</v>
      </c>
      <c r="S113" s="318" t="s">
        <v>271</v>
      </c>
      <c r="T113" s="318" t="s">
        <v>271</v>
      </c>
      <c r="U113" s="318" t="s">
        <v>271</v>
      </c>
      <c r="V113" s="318" t="s">
        <v>271</v>
      </c>
      <c r="W113" s="318" t="s">
        <v>271</v>
      </c>
      <c r="X113" s="318" t="s">
        <v>271</v>
      </c>
      <c r="Y113" s="318" t="s">
        <v>271</v>
      </c>
      <c r="Z113" s="318" t="s">
        <v>271</v>
      </c>
      <c r="AA113" s="318" t="s">
        <v>271</v>
      </c>
      <c r="AB113" s="318" t="s">
        <v>271</v>
      </c>
      <c r="AC113" s="318" t="s">
        <v>271</v>
      </c>
      <c r="AD113" s="318" t="s">
        <v>271</v>
      </c>
      <c r="AE113" s="318" t="s">
        <v>271</v>
      </c>
      <c r="AF113" s="318" t="s">
        <v>271</v>
      </c>
      <c r="AG113" s="318" t="s">
        <v>271</v>
      </c>
      <c r="AH113" s="318" t="s">
        <v>271</v>
      </c>
      <c r="AI113" s="318" t="s">
        <v>271</v>
      </c>
      <c r="AJ113" s="318" t="s">
        <v>271</v>
      </c>
      <c r="AK113" s="318" t="s">
        <v>271</v>
      </c>
      <c r="AL113" s="318" t="s">
        <v>271</v>
      </c>
      <c r="AM113" s="318" t="s">
        <v>271</v>
      </c>
      <c r="AN113" s="318" t="s">
        <v>271</v>
      </c>
      <c r="AO113" s="318" t="s">
        <v>271</v>
      </c>
      <c r="AP113" s="318" t="s">
        <v>271</v>
      </c>
      <c r="AQ113" s="318" t="s">
        <v>271</v>
      </c>
      <c r="AR113" s="318" t="s">
        <v>271</v>
      </c>
      <c r="AS113" s="318" t="s">
        <v>271</v>
      </c>
      <c r="AT113" s="318" t="s">
        <v>271</v>
      </c>
      <c r="AU113" s="318" t="s">
        <v>271</v>
      </c>
      <c r="AV113" s="318" t="s">
        <v>271</v>
      </c>
      <c r="AW113" s="318" t="s">
        <v>271</v>
      </c>
      <c r="AX113" s="318" t="s">
        <v>271</v>
      </c>
      <c r="AY113" s="318" t="s">
        <v>271</v>
      </c>
      <c r="AZ113" s="318" t="s">
        <v>271</v>
      </c>
    </row>
    <row r="114" spans="1:52" s="319" customFormat="1" ht="22.5" x14ac:dyDescent="0.2">
      <c r="A114" s="315" t="s">
        <v>271</v>
      </c>
      <c r="B114" s="316" t="s">
        <v>275</v>
      </c>
      <c r="C114" s="320" t="s">
        <v>271</v>
      </c>
      <c r="D114" s="320" t="s">
        <v>271</v>
      </c>
      <c r="E114" s="321" t="s">
        <v>276</v>
      </c>
      <c r="F114" s="321" t="s">
        <v>276</v>
      </c>
      <c r="G114" s="321" t="s">
        <v>277</v>
      </c>
      <c r="H114" s="321" t="s">
        <v>89</v>
      </c>
      <c r="I114" s="321" t="s">
        <v>278</v>
      </c>
      <c r="J114" s="321" t="s">
        <v>279</v>
      </c>
      <c r="K114" s="321" t="s">
        <v>280</v>
      </c>
      <c r="L114" s="321" t="s">
        <v>281</v>
      </c>
      <c r="M114" s="321" t="s">
        <v>282</v>
      </c>
      <c r="N114" s="321" t="s">
        <v>283</v>
      </c>
      <c r="O114" s="321" t="s">
        <v>284</v>
      </c>
      <c r="P114" s="321" t="s">
        <v>285</v>
      </c>
      <c r="Q114" s="321" t="s">
        <v>286</v>
      </c>
      <c r="R114" s="321" t="s">
        <v>287</v>
      </c>
      <c r="S114" s="321" t="s">
        <v>288</v>
      </c>
      <c r="T114" s="321" t="s">
        <v>289</v>
      </c>
      <c r="U114" s="321" t="s">
        <v>290</v>
      </c>
      <c r="V114" s="321" t="s">
        <v>291</v>
      </c>
      <c r="W114" s="321" t="s">
        <v>292</v>
      </c>
      <c r="X114" s="321" t="s">
        <v>271</v>
      </c>
      <c r="Y114" s="321" t="s">
        <v>271</v>
      </c>
      <c r="Z114" s="318" t="s">
        <v>271</v>
      </c>
      <c r="AA114" s="318" t="s">
        <v>271</v>
      </c>
      <c r="AB114" s="318" t="s">
        <v>271</v>
      </c>
      <c r="AC114" s="318" t="s">
        <v>271</v>
      </c>
      <c r="AD114" s="318" t="s">
        <v>271</v>
      </c>
      <c r="AE114" s="318" t="s">
        <v>271</v>
      </c>
      <c r="AF114" s="318" t="s">
        <v>271</v>
      </c>
      <c r="AG114" s="318" t="s">
        <v>271</v>
      </c>
      <c r="AH114" s="318" t="s">
        <v>271</v>
      </c>
      <c r="AI114" s="318" t="s">
        <v>271</v>
      </c>
      <c r="AJ114" s="318" t="s">
        <v>271</v>
      </c>
      <c r="AK114" s="318" t="s">
        <v>271</v>
      </c>
      <c r="AL114" s="318" t="s">
        <v>271</v>
      </c>
      <c r="AM114" s="318" t="s">
        <v>271</v>
      </c>
      <c r="AN114" s="318" t="s">
        <v>271</v>
      </c>
      <c r="AO114" s="318" t="s">
        <v>271</v>
      </c>
      <c r="AP114" s="318" t="s">
        <v>271</v>
      </c>
      <c r="AQ114" s="318" t="s">
        <v>271</v>
      </c>
      <c r="AR114" s="318" t="s">
        <v>271</v>
      </c>
      <c r="AS114" s="318" t="s">
        <v>271</v>
      </c>
      <c r="AT114" s="318" t="s">
        <v>271</v>
      </c>
      <c r="AU114" s="318" t="s">
        <v>271</v>
      </c>
      <c r="AV114" s="318" t="s">
        <v>271</v>
      </c>
      <c r="AW114" s="318" t="s">
        <v>271</v>
      </c>
      <c r="AX114" s="318" t="s">
        <v>271</v>
      </c>
      <c r="AY114" s="318" t="s">
        <v>271</v>
      </c>
      <c r="AZ114" s="318" t="s">
        <v>271</v>
      </c>
    </row>
    <row r="115" spans="1:52" s="319" customFormat="1" ht="11.25" x14ac:dyDescent="0.2">
      <c r="A115" s="315" t="s">
        <v>293</v>
      </c>
      <c r="B115" s="316" t="s">
        <v>294</v>
      </c>
      <c r="C115" s="320" t="s">
        <v>271</v>
      </c>
      <c r="D115" s="320" t="s">
        <v>293</v>
      </c>
      <c r="E115" s="318" t="s">
        <v>295</v>
      </c>
      <c r="F115" s="318" t="s">
        <v>294</v>
      </c>
      <c r="G115" s="318" t="s">
        <v>296</v>
      </c>
      <c r="H115" s="318" t="s">
        <v>296</v>
      </c>
      <c r="I115" s="318" t="s">
        <v>296</v>
      </c>
      <c r="J115" s="318" t="s">
        <v>296</v>
      </c>
      <c r="K115" s="318" t="s">
        <v>296</v>
      </c>
      <c r="L115" s="318" t="s">
        <v>296</v>
      </c>
      <c r="M115" s="318" t="s">
        <v>296</v>
      </c>
      <c r="N115" s="318" t="s">
        <v>296</v>
      </c>
      <c r="O115" s="318" t="s">
        <v>296</v>
      </c>
      <c r="P115" s="318" t="s">
        <v>296</v>
      </c>
      <c r="Q115" s="318" t="s">
        <v>296</v>
      </c>
      <c r="R115" s="318" t="s">
        <v>296</v>
      </c>
      <c r="S115" s="318" t="s">
        <v>271</v>
      </c>
      <c r="T115" s="318" t="s">
        <v>271</v>
      </c>
      <c r="U115" s="318" t="s">
        <v>271</v>
      </c>
      <c r="V115" s="318" t="s">
        <v>271</v>
      </c>
      <c r="W115" s="318" t="s">
        <v>271</v>
      </c>
      <c r="X115" s="318" t="s">
        <v>271</v>
      </c>
      <c r="Y115" s="318" t="s">
        <v>271</v>
      </c>
      <c r="Z115" s="318" t="s">
        <v>271</v>
      </c>
      <c r="AA115" s="318" t="s">
        <v>271</v>
      </c>
      <c r="AB115" s="318" t="s">
        <v>271</v>
      </c>
      <c r="AC115" s="318" t="s">
        <v>271</v>
      </c>
      <c r="AD115" s="318" t="s">
        <v>271</v>
      </c>
      <c r="AE115" s="318" t="s">
        <v>271</v>
      </c>
      <c r="AF115" s="318" t="s">
        <v>271</v>
      </c>
      <c r="AG115" s="318" t="s">
        <v>271</v>
      </c>
      <c r="AH115" s="318" t="s">
        <v>271</v>
      </c>
      <c r="AI115" s="318" t="s">
        <v>271</v>
      </c>
      <c r="AJ115" s="318" t="s">
        <v>271</v>
      </c>
      <c r="AK115" s="318" t="s">
        <v>271</v>
      </c>
      <c r="AL115" s="318" t="s">
        <v>271</v>
      </c>
      <c r="AM115" s="318" t="s">
        <v>271</v>
      </c>
      <c r="AN115" s="318" t="s">
        <v>271</v>
      </c>
      <c r="AO115" s="318" t="s">
        <v>271</v>
      </c>
      <c r="AP115" s="318" t="s">
        <v>271</v>
      </c>
      <c r="AQ115" s="318" t="s">
        <v>271</v>
      </c>
      <c r="AR115" s="318" t="s">
        <v>271</v>
      </c>
      <c r="AS115" s="318" t="s">
        <v>271</v>
      </c>
      <c r="AT115" s="318" t="s">
        <v>271</v>
      </c>
      <c r="AU115" s="318" t="s">
        <v>271</v>
      </c>
      <c r="AV115" s="318" t="s">
        <v>271</v>
      </c>
      <c r="AW115" s="318" t="s">
        <v>271</v>
      </c>
      <c r="AX115" s="318" t="s">
        <v>271</v>
      </c>
      <c r="AY115" s="318" t="s">
        <v>271</v>
      </c>
      <c r="AZ115" s="318" t="s">
        <v>271</v>
      </c>
    </row>
    <row r="116" spans="1:52" s="319" customFormat="1" ht="11.25" x14ac:dyDescent="0.2">
      <c r="A116" s="320" t="s">
        <v>301</v>
      </c>
      <c r="B116" s="322">
        <v>2418</v>
      </c>
      <c r="C116" s="320" t="s">
        <v>271</v>
      </c>
      <c r="D116" s="320" t="s">
        <v>271</v>
      </c>
      <c r="E116" s="318" t="s">
        <v>271</v>
      </c>
      <c r="F116" s="318" t="s">
        <v>271</v>
      </c>
      <c r="G116" s="318" t="s">
        <v>271</v>
      </c>
      <c r="H116" s="318" t="s">
        <v>271</v>
      </c>
      <c r="I116" s="318" t="s">
        <v>271</v>
      </c>
      <c r="J116" s="318" t="s">
        <v>271</v>
      </c>
      <c r="K116" s="318" t="s">
        <v>271</v>
      </c>
      <c r="L116" s="318" t="s">
        <v>271</v>
      </c>
      <c r="M116" s="318" t="s">
        <v>271</v>
      </c>
      <c r="N116" s="318" t="s">
        <v>271</v>
      </c>
      <c r="O116" s="318" t="s">
        <v>271</v>
      </c>
      <c r="P116" s="318" t="s">
        <v>271</v>
      </c>
      <c r="Q116" s="318" t="s">
        <v>271</v>
      </c>
      <c r="R116" s="318" t="s">
        <v>271</v>
      </c>
      <c r="S116" s="318" t="s">
        <v>271</v>
      </c>
      <c r="T116" s="318" t="s">
        <v>271</v>
      </c>
      <c r="U116" s="318" t="s">
        <v>271</v>
      </c>
      <c r="V116" s="318" t="s">
        <v>271</v>
      </c>
      <c r="W116" s="318" t="s">
        <v>271</v>
      </c>
      <c r="X116" s="318" t="s">
        <v>271</v>
      </c>
      <c r="Y116" s="318" t="s">
        <v>271</v>
      </c>
      <c r="Z116" s="318" t="s">
        <v>271</v>
      </c>
      <c r="AA116" s="318" t="s">
        <v>271</v>
      </c>
      <c r="AB116" s="318" t="s">
        <v>271</v>
      </c>
      <c r="AC116" s="318" t="s">
        <v>271</v>
      </c>
      <c r="AD116" s="318" t="s">
        <v>271</v>
      </c>
      <c r="AE116" s="318" t="s">
        <v>271</v>
      </c>
      <c r="AF116" s="318" t="s">
        <v>271</v>
      </c>
      <c r="AG116" s="318" t="s">
        <v>271</v>
      </c>
      <c r="AH116" s="318" t="s">
        <v>271</v>
      </c>
      <c r="AI116" s="318" t="s">
        <v>271</v>
      </c>
      <c r="AJ116" s="318" t="s">
        <v>271</v>
      </c>
      <c r="AK116" s="318" t="s">
        <v>271</v>
      </c>
      <c r="AL116" s="318" t="s">
        <v>271</v>
      </c>
      <c r="AM116" s="318" t="s">
        <v>271</v>
      </c>
      <c r="AN116" s="318" t="s">
        <v>271</v>
      </c>
      <c r="AO116" s="318" t="s">
        <v>271</v>
      </c>
      <c r="AP116" s="318" t="s">
        <v>271</v>
      </c>
      <c r="AQ116" s="318" t="s">
        <v>271</v>
      </c>
      <c r="AR116" s="318" t="s">
        <v>271</v>
      </c>
      <c r="AS116" s="318" t="s">
        <v>271</v>
      </c>
      <c r="AT116" s="318" t="s">
        <v>271</v>
      </c>
      <c r="AU116" s="318" t="s">
        <v>271</v>
      </c>
      <c r="AV116" s="318" t="s">
        <v>271</v>
      </c>
      <c r="AW116" s="318" t="s">
        <v>271</v>
      </c>
      <c r="AX116" s="318" t="s">
        <v>271</v>
      </c>
      <c r="AY116" s="318" t="s">
        <v>271</v>
      </c>
      <c r="AZ116" s="318" t="s">
        <v>271</v>
      </c>
    </row>
    <row r="117" spans="1:52" s="319" customFormat="1" ht="11.25" x14ac:dyDescent="0.2">
      <c r="A117" s="320" t="s">
        <v>300</v>
      </c>
      <c r="B117" s="322">
        <v>2418</v>
      </c>
      <c r="C117" s="320" t="s">
        <v>271</v>
      </c>
      <c r="D117" s="320" t="s">
        <v>303</v>
      </c>
      <c r="E117" s="318">
        <v>0</v>
      </c>
      <c r="F117" s="318">
        <v>0</v>
      </c>
      <c r="G117" s="318">
        <v>0</v>
      </c>
      <c r="H117" s="318">
        <v>0</v>
      </c>
      <c r="I117" s="318">
        <v>0</v>
      </c>
      <c r="J117" s="318">
        <v>0</v>
      </c>
      <c r="K117" s="318">
        <v>0</v>
      </c>
      <c r="L117" s="318">
        <v>0</v>
      </c>
      <c r="M117" s="318">
        <v>0</v>
      </c>
      <c r="N117" s="318">
        <v>0</v>
      </c>
      <c r="O117" s="318">
        <v>0</v>
      </c>
      <c r="P117" s="318">
        <v>0</v>
      </c>
      <c r="Q117" s="318">
        <v>0</v>
      </c>
      <c r="R117" s="318">
        <v>0</v>
      </c>
      <c r="S117" s="318">
        <v>0</v>
      </c>
      <c r="T117" s="318">
        <v>0</v>
      </c>
      <c r="U117" s="318">
        <v>0</v>
      </c>
      <c r="V117" s="318">
        <v>0</v>
      </c>
      <c r="W117" s="318">
        <v>0</v>
      </c>
      <c r="X117" s="318" t="s">
        <v>271</v>
      </c>
      <c r="Y117" s="318" t="s">
        <v>271</v>
      </c>
      <c r="Z117" s="318" t="s">
        <v>271</v>
      </c>
      <c r="AA117" s="318" t="s">
        <v>271</v>
      </c>
      <c r="AB117" s="318" t="s">
        <v>271</v>
      </c>
      <c r="AC117" s="318" t="s">
        <v>271</v>
      </c>
      <c r="AD117" s="318" t="s">
        <v>271</v>
      </c>
      <c r="AE117" s="318" t="s">
        <v>271</v>
      </c>
      <c r="AF117" s="318" t="s">
        <v>271</v>
      </c>
      <c r="AG117" s="318" t="s">
        <v>271</v>
      </c>
      <c r="AH117" s="318" t="s">
        <v>271</v>
      </c>
      <c r="AI117" s="318" t="s">
        <v>271</v>
      </c>
      <c r="AJ117" s="318" t="s">
        <v>271</v>
      </c>
      <c r="AK117" s="318" t="s">
        <v>271</v>
      </c>
      <c r="AL117" s="318" t="s">
        <v>271</v>
      </c>
      <c r="AM117" s="318" t="s">
        <v>271</v>
      </c>
      <c r="AN117" s="318" t="s">
        <v>271</v>
      </c>
      <c r="AO117" s="318" t="s">
        <v>271</v>
      </c>
      <c r="AP117" s="318" t="s">
        <v>271</v>
      </c>
      <c r="AQ117" s="318" t="s">
        <v>271</v>
      </c>
      <c r="AR117" s="318" t="s">
        <v>271</v>
      </c>
      <c r="AS117" s="318" t="s">
        <v>271</v>
      </c>
      <c r="AT117" s="318" t="s">
        <v>271</v>
      </c>
      <c r="AU117" s="318" t="s">
        <v>271</v>
      </c>
      <c r="AV117" s="318" t="s">
        <v>271</v>
      </c>
      <c r="AW117" s="318" t="s">
        <v>271</v>
      </c>
      <c r="AX117" s="318" t="s">
        <v>271</v>
      </c>
      <c r="AY117" s="318" t="s">
        <v>271</v>
      </c>
      <c r="AZ117" s="318" t="s">
        <v>271</v>
      </c>
    </row>
    <row r="118" spans="1:52" s="319" customFormat="1" ht="11.25" x14ac:dyDescent="0.2">
      <c r="A118" s="320" t="s">
        <v>271</v>
      </c>
      <c r="B118" s="322" t="s">
        <v>271</v>
      </c>
      <c r="C118" s="320" t="s">
        <v>271</v>
      </c>
      <c r="D118" s="320" t="s">
        <v>271</v>
      </c>
      <c r="E118" s="318" t="s">
        <v>271</v>
      </c>
      <c r="F118" s="318" t="s">
        <v>271</v>
      </c>
      <c r="G118" s="318" t="s">
        <v>271</v>
      </c>
      <c r="H118" s="318" t="s">
        <v>271</v>
      </c>
      <c r="I118" s="318" t="s">
        <v>271</v>
      </c>
      <c r="J118" s="318" t="s">
        <v>271</v>
      </c>
      <c r="K118" s="318" t="s">
        <v>271</v>
      </c>
      <c r="L118" s="318" t="s">
        <v>271</v>
      </c>
      <c r="M118" s="318" t="s">
        <v>271</v>
      </c>
      <c r="N118" s="318" t="s">
        <v>271</v>
      </c>
      <c r="O118" s="318" t="s">
        <v>271</v>
      </c>
      <c r="P118" s="318" t="s">
        <v>271</v>
      </c>
      <c r="Q118" s="318" t="s">
        <v>271</v>
      </c>
      <c r="R118" s="318" t="s">
        <v>271</v>
      </c>
      <c r="S118" s="318" t="s">
        <v>271</v>
      </c>
      <c r="T118" s="318" t="s">
        <v>271</v>
      </c>
      <c r="U118" s="318" t="s">
        <v>271</v>
      </c>
      <c r="V118" s="318" t="s">
        <v>271</v>
      </c>
      <c r="W118" s="318" t="s">
        <v>271</v>
      </c>
      <c r="X118" s="318" t="s">
        <v>271</v>
      </c>
      <c r="Y118" s="318" t="s">
        <v>271</v>
      </c>
      <c r="Z118" s="318" t="s">
        <v>271</v>
      </c>
      <c r="AA118" s="318" t="s">
        <v>271</v>
      </c>
      <c r="AB118" s="318" t="s">
        <v>271</v>
      </c>
      <c r="AC118" s="318" t="s">
        <v>271</v>
      </c>
      <c r="AD118" s="318" t="s">
        <v>271</v>
      </c>
      <c r="AE118" s="318" t="s">
        <v>271</v>
      </c>
      <c r="AF118" s="318" t="s">
        <v>271</v>
      </c>
      <c r="AG118" s="318" t="s">
        <v>271</v>
      </c>
      <c r="AH118" s="318" t="s">
        <v>271</v>
      </c>
      <c r="AI118" s="318" t="s">
        <v>271</v>
      </c>
      <c r="AJ118" s="318" t="s">
        <v>271</v>
      </c>
      <c r="AK118" s="318" t="s">
        <v>271</v>
      </c>
      <c r="AL118" s="318" t="s">
        <v>271</v>
      </c>
      <c r="AM118" s="318" t="s">
        <v>271</v>
      </c>
      <c r="AN118" s="318" t="s">
        <v>271</v>
      </c>
      <c r="AO118" s="318" t="s">
        <v>271</v>
      </c>
      <c r="AP118" s="318" t="s">
        <v>271</v>
      </c>
      <c r="AQ118" s="318" t="s">
        <v>271</v>
      </c>
      <c r="AR118" s="318" t="s">
        <v>271</v>
      </c>
      <c r="AS118" s="318" t="s">
        <v>271</v>
      </c>
      <c r="AT118" s="318" t="s">
        <v>271</v>
      </c>
      <c r="AU118" s="318" t="s">
        <v>271</v>
      </c>
      <c r="AV118" s="318" t="s">
        <v>271</v>
      </c>
      <c r="AW118" s="318" t="s">
        <v>271</v>
      </c>
      <c r="AX118" s="318" t="s">
        <v>271</v>
      </c>
      <c r="AY118" s="318" t="s">
        <v>271</v>
      </c>
      <c r="AZ118" s="318" t="s">
        <v>271</v>
      </c>
    </row>
    <row r="119" spans="1:52" s="319" customFormat="1" ht="11.25" x14ac:dyDescent="0.2">
      <c r="A119" s="320" t="s">
        <v>302</v>
      </c>
      <c r="B119" s="322">
        <v>98</v>
      </c>
      <c r="C119" s="320" t="s">
        <v>271</v>
      </c>
      <c r="D119" s="320" t="s">
        <v>305</v>
      </c>
      <c r="E119" s="318">
        <v>3003</v>
      </c>
      <c r="F119" s="318">
        <v>2348</v>
      </c>
      <c r="G119" s="318">
        <v>0</v>
      </c>
      <c r="H119" s="318">
        <v>0</v>
      </c>
      <c r="I119" s="318">
        <v>0</v>
      </c>
      <c r="J119" s="318">
        <v>0</v>
      </c>
      <c r="K119" s="318">
        <v>0</v>
      </c>
      <c r="L119" s="318">
        <v>0</v>
      </c>
      <c r="M119" s="318">
        <v>0</v>
      </c>
      <c r="N119" s="318">
        <v>0</v>
      </c>
      <c r="O119" s="318">
        <v>0</v>
      </c>
      <c r="P119" s="318">
        <v>0</v>
      </c>
      <c r="Q119" s="318">
        <v>0</v>
      </c>
      <c r="R119" s="318">
        <v>0</v>
      </c>
      <c r="S119" s="318">
        <v>0</v>
      </c>
      <c r="T119" s="318">
        <v>278.86099999999999</v>
      </c>
      <c r="U119" s="318">
        <v>0</v>
      </c>
      <c r="V119" s="318">
        <v>376</v>
      </c>
      <c r="W119" s="318">
        <v>0</v>
      </c>
      <c r="X119" s="318" t="s">
        <v>271</v>
      </c>
      <c r="Y119" s="318" t="s">
        <v>271</v>
      </c>
      <c r="Z119" s="318" t="s">
        <v>271</v>
      </c>
      <c r="AA119" s="318" t="s">
        <v>271</v>
      </c>
      <c r="AB119" s="318" t="s">
        <v>271</v>
      </c>
      <c r="AC119" s="318" t="s">
        <v>271</v>
      </c>
      <c r="AD119" s="318" t="s">
        <v>271</v>
      </c>
      <c r="AE119" s="318" t="s">
        <v>271</v>
      </c>
      <c r="AF119" s="318" t="s">
        <v>271</v>
      </c>
      <c r="AG119" s="318" t="s">
        <v>271</v>
      </c>
      <c r="AH119" s="318" t="s">
        <v>271</v>
      </c>
      <c r="AI119" s="318" t="s">
        <v>271</v>
      </c>
      <c r="AJ119" s="318" t="s">
        <v>271</v>
      </c>
      <c r="AK119" s="318" t="s">
        <v>271</v>
      </c>
      <c r="AL119" s="318" t="s">
        <v>271</v>
      </c>
      <c r="AM119" s="318" t="s">
        <v>271</v>
      </c>
      <c r="AN119" s="318" t="s">
        <v>271</v>
      </c>
      <c r="AO119" s="318" t="s">
        <v>271</v>
      </c>
      <c r="AP119" s="318" t="s">
        <v>271</v>
      </c>
      <c r="AQ119" s="318" t="s">
        <v>271</v>
      </c>
      <c r="AR119" s="318" t="s">
        <v>271</v>
      </c>
      <c r="AS119" s="318" t="s">
        <v>271</v>
      </c>
      <c r="AT119" s="318" t="s">
        <v>271</v>
      </c>
      <c r="AU119" s="318" t="s">
        <v>271</v>
      </c>
      <c r="AV119" s="318" t="s">
        <v>271</v>
      </c>
      <c r="AW119" s="318" t="s">
        <v>271</v>
      </c>
      <c r="AX119" s="318" t="s">
        <v>271</v>
      </c>
      <c r="AY119" s="318" t="s">
        <v>271</v>
      </c>
      <c r="AZ119" s="318" t="s">
        <v>271</v>
      </c>
    </row>
    <row r="120" spans="1:52" s="319" customFormat="1" ht="11.25" x14ac:dyDescent="0.2">
      <c r="A120" s="320" t="s">
        <v>271</v>
      </c>
      <c r="B120" s="322" t="s">
        <v>271</v>
      </c>
      <c r="C120" s="320" t="s">
        <v>271</v>
      </c>
      <c r="D120" s="320" t="s">
        <v>306</v>
      </c>
      <c r="E120" s="318">
        <v>57</v>
      </c>
      <c r="F120" s="318">
        <v>57</v>
      </c>
      <c r="G120" s="318">
        <v>0</v>
      </c>
      <c r="H120" s="318">
        <v>0</v>
      </c>
      <c r="I120" s="318">
        <v>0</v>
      </c>
      <c r="J120" s="318">
        <v>0</v>
      </c>
      <c r="K120" s="318">
        <v>0</v>
      </c>
      <c r="L120" s="318">
        <v>0</v>
      </c>
      <c r="M120" s="318">
        <v>0</v>
      </c>
      <c r="N120" s="318">
        <v>0</v>
      </c>
      <c r="O120" s="318">
        <v>0</v>
      </c>
      <c r="P120" s="318">
        <v>0</v>
      </c>
      <c r="Q120" s="318">
        <v>0</v>
      </c>
      <c r="R120" s="318">
        <v>0</v>
      </c>
      <c r="S120" s="318">
        <v>0</v>
      </c>
      <c r="T120" s="318">
        <v>0</v>
      </c>
      <c r="U120" s="318">
        <v>0</v>
      </c>
      <c r="V120" s="318">
        <v>0</v>
      </c>
      <c r="W120" s="318">
        <v>0</v>
      </c>
      <c r="X120" s="318" t="s">
        <v>271</v>
      </c>
      <c r="Y120" s="318" t="s">
        <v>271</v>
      </c>
      <c r="Z120" s="318" t="s">
        <v>271</v>
      </c>
      <c r="AA120" s="318" t="s">
        <v>271</v>
      </c>
      <c r="AB120" s="318" t="s">
        <v>271</v>
      </c>
      <c r="AC120" s="318" t="s">
        <v>271</v>
      </c>
      <c r="AD120" s="318" t="s">
        <v>271</v>
      </c>
      <c r="AE120" s="318" t="s">
        <v>271</v>
      </c>
      <c r="AF120" s="318" t="s">
        <v>271</v>
      </c>
      <c r="AG120" s="318" t="s">
        <v>271</v>
      </c>
      <c r="AH120" s="318" t="s">
        <v>271</v>
      </c>
      <c r="AI120" s="318" t="s">
        <v>271</v>
      </c>
      <c r="AJ120" s="318" t="s">
        <v>271</v>
      </c>
      <c r="AK120" s="318" t="s">
        <v>271</v>
      </c>
      <c r="AL120" s="318" t="s">
        <v>271</v>
      </c>
      <c r="AM120" s="318" t="s">
        <v>271</v>
      </c>
      <c r="AN120" s="318" t="s">
        <v>271</v>
      </c>
      <c r="AO120" s="318" t="s">
        <v>271</v>
      </c>
      <c r="AP120" s="318" t="s">
        <v>271</v>
      </c>
      <c r="AQ120" s="318" t="s">
        <v>271</v>
      </c>
      <c r="AR120" s="318" t="s">
        <v>271</v>
      </c>
      <c r="AS120" s="318" t="s">
        <v>271</v>
      </c>
      <c r="AT120" s="318" t="s">
        <v>271</v>
      </c>
      <c r="AU120" s="318" t="s">
        <v>271</v>
      </c>
      <c r="AV120" s="318" t="s">
        <v>271</v>
      </c>
      <c r="AW120" s="318" t="s">
        <v>271</v>
      </c>
      <c r="AX120" s="318" t="s">
        <v>271</v>
      </c>
      <c r="AY120" s="318" t="s">
        <v>271</v>
      </c>
      <c r="AZ120" s="318" t="s">
        <v>271</v>
      </c>
    </row>
    <row r="121" spans="1:52" s="319" customFormat="1" ht="11.25" x14ac:dyDescent="0.2">
      <c r="A121" s="320" t="s">
        <v>304</v>
      </c>
      <c r="B121" s="322">
        <v>2516</v>
      </c>
      <c r="C121" s="320" t="s">
        <v>271</v>
      </c>
      <c r="D121" s="320" t="s">
        <v>307</v>
      </c>
      <c r="E121" s="318">
        <v>0</v>
      </c>
      <c r="F121" s="318">
        <v>0</v>
      </c>
      <c r="G121" s="318">
        <v>0</v>
      </c>
      <c r="H121" s="318">
        <v>0</v>
      </c>
      <c r="I121" s="318">
        <v>0</v>
      </c>
      <c r="J121" s="318">
        <v>0</v>
      </c>
      <c r="K121" s="318">
        <v>0</v>
      </c>
      <c r="L121" s="318">
        <v>0</v>
      </c>
      <c r="M121" s="318">
        <v>0</v>
      </c>
      <c r="N121" s="318">
        <v>0</v>
      </c>
      <c r="O121" s="318">
        <v>0</v>
      </c>
      <c r="P121" s="318">
        <v>0</v>
      </c>
      <c r="Q121" s="318">
        <v>0</v>
      </c>
      <c r="R121" s="318">
        <v>0</v>
      </c>
      <c r="S121" s="318">
        <v>0</v>
      </c>
      <c r="T121" s="318">
        <v>0</v>
      </c>
      <c r="U121" s="318">
        <v>0</v>
      </c>
      <c r="V121" s="318">
        <v>0</v>
      </c>
      <c r="W121" s="318">
        <v>0</v>
      </c>
      <c r="X121" s="318" t="s">
        <v>271</v>
      </c>
      <c r="Y121" s="318" t="s">
        <v>271</v>
      </c>
      <c r="Z121" s="318" t="s">
        <v>271</v>
      </c>
      <c r="AA121" s="318" t="s">
        <v>271</v>
      </c>
      <c r="AB121" s="318" t="s">
        <v>271</v>
      </c>
      <c r="AC121" s="318" t="s">
        <v>271</v>
      </c>
      <c r="AD121" s="318" t="s">
        <v>271</v>
      </c>
      <c r="AE121" s="318" t="s">
        <v>271</v>
      </c>
      <c r="AF121" s="318" t="s">
        <v>271</v>
      </c>
      <c r="AG121" s="318" t="s">
        <v>271</v>
      </c>
      <c r="AH121" s="318" t="s">
        <v>271</v>
      </c>
      <c r="AI121" s="318" t="s">
        <v>271</v>
      </c>
      <c r="AJ121" s="318" t="s">
        <v>271</v>
      </c>
      <c r="AK121" s="318" t="s">
        <v>271</v>
      </c>
      <c r="AL121" s="318" t="s">
        <v>271</v>
      </c>
      <c r="AM121" s="318" t="s">
        <v>271</v>
      </c>
      <c r="AN121" s="318" t="s">
        <v>271</v>
      </c>
      <c r="AO121" s="318" t="s">
        <v>271</v>
      </c>
      <c r="AP121" s="318" t="s">
        <v>271</v>
      </c>
      <c r="AQ121" s="318" t="s">
        <v>271</v>
      </c>
      <c r="AR121" s="318" t="s">
        <v>271</v>
      </c>
      <c r="AS121" s="318" t="s">
        <v>271</v>
      </c>
      <c r="AT121" s="318" t="s">
        <v>271</v>
      </c>
      <c r="AU121" s="318" t="s">
        <v>271</v>
      </c>
      <c r="AV121" s="318" t="s">
        <v>271</v>
      </c>
      <c r="AW121" s="318" t="s">
        <v>271</v>
      </c>
      <c r="AX121" s="318" t="s">
        <v>271</v>
      </c>
      <c r="AY121" s="318" t="s">
        <v>271</v>
      </c>
      <c r="AZ121" s="318" t="s">
        <v>271</v>
      </c>
    </row>
    <row r="122" spans="1:52" s="319" customFormat="1" ht="11.25" x14ac:dyDescent="0.2">
      <c r="A122" s="320" t="s">
        <v>271</v>
      </c>
      <c r="B122" s="322" t="s">
        <v>271</v>
      </c>
      <c r="C122" s="320" t="s">
        <v>271</v>
      </c>
      <c r="D122" s="320" t="s">
        <v>308</v>
      </c>
      <c r="E122" s="318">
        <v>0</v>
      </c>
      <c r="F122" s="318">
        <v>0</v>
      </c>
      <c r="G122" s="318">
        <v>0</v>
      </c>
      <c r="H122" s="318">
        <v>0</v>
      </c>
      <c r="I122" s="318">
        <v>0</v>
      </c>
      <c r="J122" s="318">
        <v>0</v>
      </c>
      <c r="K122" s="318">
        <v>0</v>
      </c>
      <c r="L122" s="318">
        <v>0</v>
      </c>
      <c r="M122" s="318">
        <v>0</v>
      </c>
      <c r="N122" s="318">
        <v>0</v>
      </c>
      <c r="O122" s="318">
        <v>0</v>
      </c>
      <c r="P122" s="318">
        <v>0</v>
      </c>
      <c r="Q122" s="318">
        <v>0</v>
      </c>
      <c r="R122" s="318">
        <v>0</v>
      </c>
      <c r="S122" s="318">
        <v>0</v>
      </c>
      <c r="T122" s="318">
        <v>0</v>
      </c>
      <c r="U122" s="318">
        <v>0</v>
      </c>
      <c r="V122" s="318">
        <v>0</v>
      </c>
      <c r="W122" s="318">
        <v>0</v>
      </c>
      <c r="X122" s="318" t="s">
        <v>271</v>
      </c>
      <c r="Y122" s="318" t="s">
        <v>271</v>
      </c>
      <c r="Z122" s="318" t="s">
        <v>271</v>
      </c>
      <c r="AA122" s="318" t="s">
        <v>271</v>
      </c>
      <c r="AB122" s="318" t="s">
        <v>271</v>
      </c>
      <c r="AC122" s="318" t="s">
        <v>271</v>
      </c>
      <c r="AD122" s="318" t="s">
        <v>271</v>
      </c>
      <c r="AE122" s="318" t="s">
        <v>271</v>
      </c>
      <c r="AF122" s="318" t="s">
        <v>271</v>
      </c>
      <c r="AG122" s="318" t="s">
        <v>271</v>
      </c>
      <c r="AH122" s="318" t="s">
        <v>271</v>
      </c>
      <c r="AI122" s="318" t="s">
        <v>271</v>
      </c>
      <c r="AJ122" s="318" t="s">
        <v>271</v>
      </c>
      <c r="AK122" s="318" t="s">
        <v>271</v>
      </c>
      <c r="AL122" s="318" t="s">
        <v>271</v>
      </c>
      <c r="AM122" s="318" t="s">
        <v>271</v>
      </c>
      <c r="AN122" s="318" t="s">
        <v>271</v>
      </c>
      <c r="AO122" s="318" t="s">
        <v>271</v>
      </c>
      <c r="AP122" s="318" t="s">
        <v>271</v>
      </c>
      <c r="AQ122" s="318" t="s">
        <v>271</v>
      </c>
      <c r="AR122" s="318" t="s">
        <v>271</v>
      </c>
      <c r="AS122" s="318" t="s">
        <v>271</v>
      </c>
      <c r="AT122" s="318" t="s">
        <v>271</v>
      </c>
      <c r="AU122" s="318" t="s">
        <v>271</v>
      </c>
      <c r="AV122" s="318" t="s">
        <v>271</v>
      </c>
      <c r="AW122" s="318" t="s">
        <v>271</v>
      </c>
      <c r="AX122" s="318" t="s">
        <v>271</v>
      </c>
      <c r="AY122" s="318" t="s">
        <v>271</v>
      </c>
      <c r="AZ122" s="318" t="s">
        <v>271</v>
      </c>
    </row>
    <row r="123" spans="1:52" s="319" customFormat="1" ht="11.25" x14ac:dyDescent="0.2">
      <c r="A123" s="320" t="s">
        <v>271</v>
      </c>
      <c r="B123" s="322" t="s">
        <v>271</v>
      </c>
      <c r="C123" s="320" t="s">
        <v>271</v>
      </c>
      <c r="D123" s="320" t="s">
        <v>309</v>
      </c>
      <c r="E123" s="318">
        <v>0</v>
      </c>
      <c r="F123" s="318">
        <v>0</v>
      </c>
      <c r="G123" s="318">
        <v>0</v>
      </c>
      <c r="H123" s="318">
        <v>0</v>
      </c>
      <c r="I123" s="318">
        <v>0</v>
      </c>
      <c r="J123" s="318">
        <v>0</v>
      </c>
      <c r="K123" s="318">
        <v>0</v>
      </c>
      <c r="L123" s="318">
        <v>0</v>
      </c>
      <c r="M123" s="318">
        <v>0</v>
      </c>
      <c r="N123" s="318">
        <v>0</v>
      </c>
      <c r="O123" s="318">
        <v>0</v>
      </c>
      <c r="P123" s="318">
        <v>0</v>
      </c>
      <c r="Q123" s="318">
        <v>0</v>
      </c>
      <c r="R123" s="318">
        <v>0</v>
      </c>
      <c r="S123" s="318">
        <v>0</v>
      </c>
      <c r="T123" s="318">
        <v>0</v>
      </c>
      <c r="U123" s="318">
        <v>0</v>
      </c>
      <c r="V123" s="318">
        <v>0</v>
      </c>
      <c r="W123" s="318">
        <v>0</v>
      </c>
      <c r="X123" s="318" t="s">
        <v>271</v>
      </c>
      <c r="Y123" s="318" t="s">
        <v>271</v>
      </c>
      <c r="Z123" s="318" t="s">
        <v>271</v>
      </c>
      <c r="AA123" s="318" t="s">
        <v>271</v>
      </c>
      <c r="AB123" s="318" t="s">
        <v>271</v>
      </c>
      <c r="AC123" s="318" t="s">
        <v>271</v>
      </c>
      <c r="AD123" s="318" t="s">
        <v>271</v>
      </c>
      <c r="AE123" s="318" t="s">
        <v>271</v>
      </c>
      <c r="AF123" s="318" t="s">
        <v>271</v>
      </c>
      <c r="AG123" s="318" t="s">
        <v>271</v>
      </c>
      <c r="AH123" s="318" t="s">
        <v>271</v>
      </c>
      <c r="AI123" s="318" t="s">
        <v>271</v>
      </c>
      <c r="AJ123" s="318" t="s">
        <v>271</v>
      </c>
      <c r="AK123" s="318" t="s">
        <v>271</v>
      </c>
      <c r="AL123" s="318" t="s">
        <v>271</v>
      </c>
      <c r="AM123" s="318" t="s">
        <v>271</v>
      </c>
      <c r="AN123" s="318" t="s">
        <v>271</v>
      </c>
      <c r="AO123" s="318" t="s">
        <v>271</v>
      </c>
      <c r="AP123" s="318" t="s">
        <v>271</v>
      </c>
      <c r="AQ123" s="318" t="s">
        <v>271</v>
      </c>
      <c r="AR123" s="318" t="s">
        <v>271</v>
      </c>
      <c r="AS123" s="318" t="s">
        <v>271</v>
      </c>
      <c r="AT123" s="318" t="s">
        <v>271</v>
      </c>
      <c r="AU123" s="318" t="s">
        <v>271</v>
      </c>
      <c r="AV123" s="318" t="s">
        <v>271</v>
      </c>
      <c r="AW123" s="318" t="s">
        <v>271</v>
      </c>
      <c r="AX123" s="318" t="s">
        <v>271</v>
      </c>
      <c r="AY123" s="318" t="s">
        <v>271</v>
      </c>
      <c r="AZ123" s="318" t="s">
        <v>271</v>
      </c>
    </row>
    <row r="124" spans="1:52" s="319" customFormat="1" ht="11.25" x14ac:dyDescent="0.2">
      <c r="A124" s="320" t="s">
        <v>271</v>
      </c>
      <c r="B124" s="322" t="s">
        <v>271</v>
      </c>
      <c r="C124" s="320" t="s">
        <v>271</v>
      </c>
      <c r="D124" s="320" t="s">
        <v>310</v>
      </c>
      <c r="E124" s="318">
        <v>0</v>
      </c>
      <c r="F124" s="318">
        <v>0</v>
      </c>
      <c r="G124" s="318">
        <v>0</v>
      </c>
      <c r="H124" s="318">
        <v>0</v>
      </c>
      <c r="I124" s="318">
        <v>0</v>
      </c>
      <c r="J124" s="318">
        <v>0</v>
      </c>
      <c r="K124" s="318">
        <v>0</v>
      </c>
      <c r="L124" s="318">
        <v>0</v>
      </c>
      <c r="M124" s="318">
        <v>0</v>
      </c>
      <c r="N124" s="318">
        <v>0</v>
      </c>
      <c r="O124" s="318">
        <v>0</v>
      </c>
      <c r="P124" s="318">
        <v>0</v>
      </c>
      <c r="Q124" s="318">
        <v>0</v>
      </c>
      <c r="R124" s="318">
        <v>0</v>
      </c>
      <c r="S124" s="318">
        <v>0</v>
      </c>
      <c r="T124" s="318">
        <v>0</v>
      </c>
      <c r="U124" s="318">
        <v>0</v>
      </c>
      <c r="V124" s="318">
        <v>0</v>
      </c>
      <c r="W124" s="318">
        <v>0</v>
      </c>
      <c r="X124" s="318" t="s">
        <v>271</v>
      </c>
      <c r="Y124" s="318" t="s">
        <v>271</v>
      </c>
      <c r="Z124" s="318" t="s">
        <v>271</v>
      </c>
      <c r="AA124" s="318" t="s">
        <v>271</v>
      </c>
      <c r="AB124" s="318" t="s">
        <v>271</v>
      </c>
      <c r="AC124" s="318" t="s">
        <v>271</v>
      </c>
      <c r="AD124" s="318" t="s">
        <v>271</v>
      </c>
      <c r="AE124" s="318" t="s">
        <v>271</v>
      </c>
      <c r="AF124" s="318" t="s">
        <v>271</v>
      </c>
      <c r="AG124" s="318" t="s">
        <v>271</v>
      </c>
      <c r="AH124" s="318" t="s">
        <v>271</v>
      </c>
      <c r="AI124" s="318" t="s">
        <v>271</v>
      </c>
      <c r="AJ124" s="318" t="s">
        <v>271</v>
      </c>
      <c r="AK124" s="318" t="s">
        <v>271</v>
      </c>
      <c r="AL124" s="318" t="s">
        <v>271</v>
      </c>
      <c r="AM124" s="318" t="s">
        <v>271</v>
      </c>
      <c r="AN124" s="318" t="s">
        <v>271</v>
      </c>
      <c r="AO124" s="318" t="s">
        <v>271</v>
      </c>
      <c r="AP124" s="318" t="s">
        <v>271</v>
      </c>
      <c r="AQ124" s="318" t="s">
        <v>271</v>
      </c>
      <c r="AR124" s="318" t="s">
        <v>271</v>
      </c>
      <c r="AS124" s="318" t="s">
        <v>271</v>
      </c>
      <c r="AT124" s="318" t="s">
        <v>271</v>
      </c>
      <c r="AU124" s="318" t="s">
        <v>271</v>
      </c>
      <c r="AV124" s="318" t="s">
        <v>271</v>
      </c>
      <c r="AW124" s="318" t="s">
        <v>271</v>
      </c>
      <c r="AX124" s="318" t="s">
        <v>271</v>
      </c>
      <c r="AY124" s="318" t="s">
        <v>271</v>
      </c>
      <c r="AZ124" s="318" t="s">
        <v>271</v>
      </c>
    </row>
    <row r="125" spans="1:52" s="319" customFormat="1" ht="11.25" x14ac:dyDescent="0.2">
      <c r="A125" s="320" t="s">
        <v>271</v>
      </c>
      <c r="B125" s="322" t="s">
        <v>271</v>
      </c>
      <c r="C125" s="320" t="s">
        <v>271</v>
      </c>
      <c r="D125" s="320" t="s">
        <v>311</v>
      </c>
      <c r="E125" s="318">
        <v>0</v>
      </c>
      <c r="F125" s="318">
        <v>0</v>
      </c>
      <c r="G125" s="318">
        <v>0</v>
      </c>
      <c r="H125" s="318">
        <v>0</v>
      </c>
      <c r="I125" s="318">
        <v>0</v>
      </c>
      <c r="J125" s="318">
        <v>0</v>
      </c>
      <c r="K125" s="318">
        <v>0</v>
      </c>
      <c r="L125" s="318">
        <v>0</v>
      </c>
      <c r="M125" s="318">
        <v>0</v>
      </c>
      <c r="N125" s="318">
        <v>0</v>
      </c>
      <c r="O125" s="318">
        <v>0</v>
      </c>
      <c r="P125" s="318">
        <v>0</v>
      </c>
      <c r="Q125" s="318">
        <v>0</v>
      </c>
      <c r="R125" s="318">
        <v>0</v>
      </c>
      <c r="S125" s="318">
        <v>0</v>
      </c>
      <c r="T125" s="318">
        <v>0</v>
      </c>
      <c r="U125" s="318">
        <v>0</v>
      </c>
      <c r="V125" s="318">
        <v>0</v>
      </c>
      <c r="W125" s="318">
        <v>0</v>
      </c>
      <c r="X125" s="318" t="s">
        <v>271</v>
      </c>
      <c r="Y125" s="318" t="s">
        <v>271</v>
      </c>
      <c r="Z125" s="318" t="s">
        <v>271</v>
      </c>
      <c r="AA125" s="318" t="s">
        <v>271</v>
      </c>
      <c r="AB125" s="318" t="s">
        <v>271</v>
      </c>
      <c r="AC125" s="318" t="s">
        <v>271</v>
      </c>
      <c r="AD125" s="318" t="s">
        <v>271</v>
      </c>
      <c r="AE125" s="318" t="s">
        <v>271</v>
      </c>
      <c r="AF125" s="318" t="s">
        <v>271</v>
      </c>
      <c r="AG125" s="318" t="s">
        <v>271</v>
      </c>
      <c r="AH125" s="318" t="s">
        <v>271</v>
      </c>
      <c r="AI125" s="318" t="s">
        <v>271</v>
      </c>
      <c r="AJ125" s="318" t="s">
        <v>271</v>
      </c>
      <c r="AK125" s="318" t="s">
        <v>271</v>
      </c>
      <c r="AL125" s="318" t="s">
        <v>271</v>
      </c>
      <c r="AM125" s="318" t="s">
        <v>271</v>
      </c>
      <c r="AN125" s="318" t="s">
        <v>271</v>
      </c>
      <c r="AO125" s="318" t="s">
        <v>271</v>
      </c>
      <c r="AP125" s="318" t="s">
        <v>271</v>
      </c>
      <c r="AQ125" s="318" t="s">
        <v>271</v>
      </c>
      <c r="AR125" s="318" t="s">
        <v>271</v>
      </c>
      <c r="AS125" s="318" t="s">
        <v>271</v>
      </c>
      <c r="AT125" s="318" t="s">
        <v>271</v>
      </c>
      <c r="AU125" s="318" t="s">
        <v>271</v>
      </c>
      <c r="AV125" s="318" t="s">
        <v>271</v>
      </c>
      <c r="AW125" s="318" t="s">
        <v>271</v>
      </c>
      <c r="AX125" s="318" t="s">
        <v>271</v>
      </c>
      <c r="AY125" s="318" t="s">
        <v>271</v>
      </c>
      <c r="AZ125" s="318" t="s">
        <v>271</v>
      </c>
    </row>
    <row r="126" spans="1:52" s="319" customFormat="1" ht="11.25" x14ac:dyDescent="0.2">
      <c r="A126" s="320" t="s">
        <v>271</v>
      </c>
      <c r="B126" s="322" t="s">
        <v>271</v>
      </c>
      <c r="C126" s="320" t="s">
        <v>271</v>
      </c>
      <c r="D126" s="320" t="s">
        <v>312</v>
      </c>
      <c r="E126" s="318">
        <v>124</v>
      </c>
      <c r="F126" s="318">
        <v>111</v>
      </c>
      <c r="G126" s="318">
        <v>0</v>
      </c>
      <c r="H126" s="318">
        <v>0</v>
      </c>
      <c r="I126" s="318">
        <v>0</v>
      </c>
      <c r="J126" s="318">
        <v>0</v>
      </c>
      <c r="K126" s="318">
        <v>0</v>
      </c>
      <c r="L126" s="318">
        <v>0</v>
      </c>
      <c r="M126" s="318">
        <v>0</v>
      </c>
      <c r="N126" s="318">
        <v>0</v>
      </c>
      <c r="O126" s="318">
        <v>0</v>
      </c>
      <c r="P126" s="318">
        <v>0</v>
      </c>
      <c r="Q126" s="318">
        <v>0</v>
      </c>
      <c r="R126" s="318">
        <v>0</v>
      </c>
      <c r="S126" s="318">
        <v>0</v>
      </c>
      <c r="T126" s="318">
        <v>13.138999999999999</v>
      </c>
      <c r="U126" s="318">
        <v>0</v>
      </c>
      <c r="V126" s="318">
        <v>0</v>
      </c>
      <c r="W126" s="318">
        <v>0</v>
      </c>
      <c r="X126" s="318" t="s">
        <v>271</v>
      </c>
      <c r="Y126" s="318" t="s">
        <v>271</v>
      </c>
      <c r="Z126" s="318" t="s">
        <v>271</v>
      </c>
      <c r="AA126" s="318" t="s">
        <v>271</v>
      </c>
      <c r="AB126" s="318" t="s">
        <v>271</v>
      </c>
      <c r="AC126" s="318" t="s">
        <v>271</v>
      </c>
      <c r="AD126" s="318" t="s">
        <v>271</v>
      </c>
      <c r="AE126" s="318" t="s">
        <v>271</v>
      </c>
      <c r="AF126" s="318" t="s">
        <v>271</v>
      </c>
      <c r="AG126" s="318" t="s">
        <v>271</v>
      </c>
      <c r="AH126" s="318" t="s">
        <v>271</v>
      </c>
      <c r="AI126" s="318" t="s">
        <v>271</v>
      </c>
      <c r="AJ126" s="318" t="s">
        <v>271</v>
      </c>
      <c r="AK126" s="318" t="s">
        <v>271</v>
      </c>
      <c r="AL126" s="318" t="s">
        <v>271</v>
      </c>
      <c r="AM126" s="318" t="s">
        <v>271</v>
      </c>
      <c r="AN126" s="318" t="s">
        <v>271</v>
      </c>
      <c r="AO126" s="318" t="s">
        <v>271</v>
      </c>
      <c r="AP126" s="318" t="s">
        <v>271</v>
      </c>
      <c r="AQ126" s="318" t="s">
        <v>271</v>
      </c>
      <c r="AR126" s="318" t="s">
        <v>271</v>
      </c>
      <c r="AS126" s="318" t="s">
        <v>271</v>
      </c>
      <c r="AT126" s="318" t="s">
        <v>271</v>
      </c>
      <c r="AU126" s="318" t="s">
        <v>271</v>
      </c>
      <c r="AV126" s="318" t="s">
        <v>271</v>
      </c>
      <c r="AW126" s="318" t="s">
        <v>271</v>
      </c>
      <c r="AX126" s="318" t="s">
        <v>271</v>
      </c>
      <c r="AY126" s="318" t="s">
        <v>271</v>
      </c>
      <c r="AZ126" s="318" t="s">
        <v>271</v>
      </c>
    </row>
    <row r="127" spans="1:52" s="319" customFormat="1" ht="11.25" x14ac:dyDescent="0.2">
      <c r="A127" s="320" t="s">
        <v>271</v>
      </c>
      <c r="B127" s="322" t="s">
        <v>271</v>
      </c>
      <c r="C127" s="320" t="s">
        <v>271</v>
      </c>
      <c r="D127" s="320" t="s">
        <v>313</v>
      </c>
      <c r="E127" s="318">
        <v>0</v>
      </c>
      <c r="F127" s="318">
        <v>0</v>
      </c>
      <c r="G127" s="318">
        <v>0</v>
      </c>
      <c r="H127" s="318">
        <v>0</v>
      </c>
      <c r="I127" s="318">
        <v>0</v>
      </c>
      <c r="J127" s="318">
        <v>0</v>
      </c>
      <c r="K127" s="318">
        <v>0</v>
      </c>
      <c r="L127" s="318">
        <v>0</v>
      </c>
      <c r="M127" s="318">
        <v>0</v>
      </c>
      <c r="N127" s="318">
        <v>0</v>
      </c>
      <c r="O127" s="318">
        <v>0</v>
      </c>
      <c r="P127" s="318">
        <v>0</v>
      </c>
      <c r="Q127" s="318">
        <v>0</v>
      </c>
      <c r="R127" s="318">
        <v>0</v>
      </c>
      <c r="S127" s="318">
        <v>0</v>
      </c>
      <c r="T127" s="318">
        <v>0</v>
      </c>
      <c r="U127" s="318">
        <v>0</v>
      </c>
      <c r="V127" s="318">
        <v>0</v>
      </c>
      <c r="W127" s="318">
        <v>0</v>
      </c>
      <c r="X127" s="318" t="s">
        <v>271</v>
      </c>
      <c r="Y127" s="318" t="s">
        <v>271</v>
      </c>
      <c r="Z127" s="318" t="s">
        <v>271</v>
      </c>
      <c r="AA127" s="318" t="s">
        <v>271</v>
      </c>
      <c r="AB127" s="318" t="s">
        <v>271</v>
      </c>
      <c r="AC127" s="318" t="s">
        <v>271</v>
      </c>
      <c r="AD127" s="318" t="s">
        <v>271</v>
      </c>
      <c r="AE127" s="318" t="s">
        <v>271</v>
      </c>
      <c r="AF127" s="318" t="s">
        <v>271</v>
      </c>
      <c r="AG127" s="318" t="s">
        <v>271</v>
      </c>
      <c r="AH127" s="318" t="s">
        <v>271</v>
      </c>
      <c r="AI127" s="318" t="s">
        <v>271</v>
      </c>
      <c r="AJ127" s="318" t="s">
        <v>271</v>
      </c>
      <c r="AK127" s="318" t="s">
        <v>271</v>
      </c>
      <c r="AL127" s="318" t="s">
        <v>271</v>
      </c>
      <c r="AM127" s="318" t="s">
        <v>271</v>
      </c>
      <c r="AN127" s="318" t="s">
        <v>271</v>
      </c>
      <c r="AO127" s="318" t="s">
        <v>271</v>
      </c>
      <c r="AP127" s="318" t="s">
        <v>271</v>
      </c>
      <c r="AQ127" s="318" t="s">
        <v>271</v>
      </c>
      <c r="AR127" s="318" t="s">
        <v>271</v>
      </c>
      <c r="AS127" s="318" t="s">
        <v>271</v>
      </c>
      <c r="AT127" s="318" t="s">
        <v>271</v>
      </c>
      <c r="AU127" s="318" t="s">
        <v>271</v>
      </c>
      <c r="AV127" s="318" t="s">
        <v>271</v>
      </c>
      <c r="AW127" s="318" t="s">
        <v>271</v>
      </c>
      <c r="AX127" s="318" t="s">
        <v>271</v>
      </c>
      <c r="AY127" s="318" t="s">
        <v>271</v>
      </c>
      <c r="AZ127" s="318" t="s">
        <v>271</v>
      </c>
    </row>
    <row r="128" spans="1:52" s="319" customFormat="1" ht="11.25" x14ac:dyDescent="0.2">
      <c r="A128" s="320" t="s">
        <v>271</v>
      </c>
      <c r="B128" s="322" t="s">
        <v>271</v>
      </c>
      <c r="C128" s="320" t="s">
        <v>271</v>
      </c>
      <c r="D128" s="320" t="s">
        <v>271</v>
      </c>
      <c r="E128" s="318" t="s">
        <v>271</v>
      </c>
      <c r="F128" s="318" t="s">
        <v>271</v>
      </c>
      <c r="G128" s="318" t="s">
        <v>271</v>
      </c>
      <c r="H128" s="318" t="s">
        <v>271</v>
      </c>
      <c r="I128" s="318" t="s">
        <v>271</v>
      </c>
      <c r="J128" s="318" t="s">
        <v>271</v>
      </c>
      <c r="K128" s="318" t="s">
        <v>271</v>
      </c>
      <c r="L128" s="318" t="s">
        <v>271</v>
      </c>
      <c r="M128" s="318" t="s">
        <v>271</v>
      </c>
      <c r="N128" s="318" t="s">
        <v>271</v>
      </c>
      <c r="O128" s="318" t="s">
        <v>271</v>
      </c>
      <c r="P128" s="318" t="s">
        <v>271</v>
      </c>
      <c r="Q128" s="318" t="s">
        <v>271</v>
      </c>
      <c r="R128" s="318" t="s">
        <v>271</v>
      </c>
      <c r="S128" s="318" t="s">
        <v>271</v>
      </c>
      <c r="T128" s="318" t="s">
        <v>271</v>
      </c>
      <c r="U128" s="318" t="s">
        <v>271</v>
      </c>
      <c r="V128" s="318" t="s">
        <v>271</v>
      </c>
      <c r="W128" s="318" t="s">
        <v>271</v>
      </c>
      <c r="X128" s="318" t="s">
        <v>271</v>
      </c>
      <c r="Y128" s="318" t="s">
        <v>271</v>
      </c>
      <c r="Z128" s="318" t="s">
        <v>271</v>
      </c>
      <c r="AA128" s="318" t="s">
        <v>271</v>
      </c>
      <c r="AB128" s="318" t="s">
        <v>271</v>
      </c>
      <c r="AC128" s="318" t="s">
        <v>271</v>
      </c>
      <c r="AD128" s="318" t="s">
        <v>271</v>
      </c>
      <c r="AE128" s="318" t="s">
        <v>271</v>
      </c>
      <c r="AF128" s="318" t="s">
        <v>271</v>
      </c>
      <c r="AG128" s="318" t="s">
        <v>271</v>
      </c>
      <c r="AH128" s="318" t="s">
        <v>271</v>
      </c>
      <c r="AI128" s="318" t="s">
        <v>271</v>
      </c>
      <c r="AJ128" s="318" t="s">
        <v>271</v>
      </c>
      <c r="AK128" s="318" t="s">
        <v>271</v>
      </c>
      <c r="AL128" s="318" t="s">
        <v>271</v>
      </c>
      <c r="AM128" s="318" t="s">
        <v>271</v>
      </c>
      <c r="AN128" s="318" t="s">
        <v>271</v>
      </c>
      <c r="AO128" s="318" t="s">
        <v>271</v>
      </c>
      <c r="AP128" s="318" t="s">
        <v>271</v>
      </c>
      <c r="AQ128" s="318" t="s">
        <v>271</v>
      </c>
      <c r="AR128" s="318" t="s">
        <v>271</v>
      </c>
      <c r="AS128" s="318" t="s">
        <v>271</v>
      </c>
      <c r="AT128" s="318" t="s">
        <v>271</v>
      </c>
      <c r="AU128" s="318" t="s">
        <v>271</v>
      </c>
      <c r="AV128" s="318" t="s">
        <v>271</v>
      </c>
      <c r="AW128" s="318" t="s">
        <v>271</v>
      </c>
      <c r="AX128" s="318" t="s">
        <v>271</v>
      </c>
      <c r="AY128" s="318" t="s">
        <v>271</v>
      </c>
      <c r="AZ128" s="318" t="s">
        <v>271</v>
      </c>
    </row>
    <row r="129" spans="1:52" s="319" customFormat="1" ht="11.25" x14ac:dyDescent="0.2">
      <c r="A129" s="320" t="s">
        <v>271</v>
      </c>
      <c r="B129" s="322" t="s">
        <v>271</v>
      </c>
      <c r="C129" s="320" t="s">
        <v>271</v>
      </c>
      <c r="D129" s="320" t="s">
        <v>314</v>
      </c>
      <c r="E129" s="318">
        <v>3184</v>
      </c>
      <c r="F129" s="318">
        <v>2516</v>
      </c>
      <c r="G129" s="318">
        <v>0</v>
      </c>
      <c r="H129" s="318">
        <v>0</v>
      </c>
      <c r="I129" s="318">
        <v>0</v>
      </c>
      <c r="J129" s="318">
        <v>0</v>
      </c>
      <c r="K129" s="318">
        <v>0</v>
      </c>
      <c r="L129" s="318">
        <v>0</v>
      </c>
      <c r="M129" s="318">
        <v>0</v>
      </c>
      <c r="N129" s="318">
        <v>0</v>
      </c>
      <c r="O129" s="318">
        <v>0</v>
      </c>
      <c r="P129" s="318">
        <v>0</v>
      </c>
      <c r="Q129" s="318">
        <v>0</v>
      </c>
      <c r="R129" s="318">
        <v>0</v>
      </c>
      <c r="S129" s="318">
        <v>0</v>
      </c>
      <c r="T129" s="318">
        <v>292</v>
      </c>
      <c r="U129" s="318">
        <v>0</v>
      </c>
      <c r="V129" s="318">
        <v>376</v>
      </c>
      <c r="W129" s="318">
        <v>0</v>
      </c>
      <c r="X129" s="318" t="s">
        <v>271</v>
      </c>
      <c r="Y129" s="318" t="s">
        <v>271</v>
      </c>
      <c r="Z129" s="318" t="s">
        <v>271</v>
      </c>
      <c r="AA129" s="318" t="s">
        <v>271</v>
      </c>
      <c r="AB129" s="318" t="s">
        <v>271</v>
      </c>
      <c r="AC129" s="318" t="s">
        <v>271</v>
      </c>
      <c r="AD129" s="318" t="s">
        <v>271</v>
      </c>
      <c r="AE129" s="318" t="s">
        <v>271</v>
      </c>
      <c r="AF129" s="318" t="s">
        <v>271</v>
      </c>
      <c r="AG129" s="318" t="s">
        <v>271</v>
      </c>
      <c r="AH129" s="318" t="s">
        <v>271</v>
      </c>
      <c r="AI129" s="318" t="s">
        <v>271</v>
      </c>
      <c r="AJ129" s="318" t="s">
        <v>271</v>
      </c>
      <c r="AK129" s="318" t="s">
        <v>271</v>
      </c>
      <c r="AL129" s="318" t="s">
        <v>271</v>
      </c>
      <c r="AM129" s="318" t="s">
        <v>271</v>
      </c>
      <c r="AN129" s="318" t="s">
        <v>271</v>
      </c>
      <c r="AO129" s="318" t="s">
        <v>271</v>
      </c>
      <c r="AP129" s="318" t="s">
        <v>271</v>
      </c>
      <c r="AQ129" s="318" t="s">
        <v>271</v>
      </c>
      <c r="AR129" s="318" t="s">
        <v>271</v>
      </c>
      <c r="AS129" s="318" t="s">
        <v>271</v>
      </c>
      <c r="AT129" s="318" t="s">
        <v>271</v>
      </c>
      <c r="AU129" s="318" t="s">
        <v>271</v>
      </c>
      <c r="AV129" s="318" t="s">
        <v>271</v>
      </c>
      <c r="AW129" s="318" t="s">
        <v>271</v>
      </c>
      <c r="AX129" s="318" t="s">
        <v>271</v>
      </c>
      <c r="AY129" s="318" t="s">
        <v>271</v>
      </c>
      <c r="AZ129" s="318" t="s">
        <v>271</v>
      </c>
    </row>
    <row r="130" spans="1:52" s="7" customFormat="1" x14ac:dyDescent="0.25">
      <c r="B130" s="52"/>
      <c r="C130" s="53"/>
      <c r="D130" s="53"/>
      <c r="E130" s="53"/>
      <c r="F130" s="53"/>
      <c r="G130" s="53"/>
      <c r="H130" s="53"/>
      <c r="I130" s="53"/>
      <c r="J130" s="53"/>
      <c r="K130" s="53"/>
      <c r="L130" s="49"/>
      <c r="M130" s="49"/>
      <c r="N130" s="49"/>
      <c r="O130" s="49"/>
      <c r="P130" s="49"/>
      <c r="Q130" s="49"/>
      <c r="R130" s="49"/>
      <c r="S130" s="49"/>
      <c r="T130" s="49"/>
      <c r="U130" s="49"/>
      <c r="V130" s="49"/>
    </row>
    <row r="131" spans="1:52" s="7" customFormat="1" x14ac:dyDescent="0.25">
      <c r="B131" s="52"/>
      <c r="C131" s="53"/>
      <c r="D131" s="53"/>
      <c r="E131" s="53"/>
      <c r="F131" s="53"/>
      <c r="G131" s="53"/>
      <c r="H131" s="53"/>
      <c r="I131" s="53"/>
      <c r="J131" s="53"/>
      <c r="K131" s="53"/>
      <c r="L131" s="49"/>
      <c r="M131" s="49"/>
      <c r="N131" s="49"/>
      <c r="O131" s="49"/>
      <c r="P131" s="49"/>
      <c r="Q131" s="49"/>
      <c r="R131" s="49"/>
      <c r="S131" s="49"/>
      <c r="T131" s="49"/>
      <c r="U131" s="49"/>
      <c r="V131" s="49"/>
    </row>
    <row r="132" spans="1:52" s="7" customFormat="1" x14ac:dyDescent="0.25">
      <c r="B132" s="52"/>
      <c r="C132" s="53"/>
      <c r="D132" s="53"/>
      <c r="E132" s="53"/>
      <c r="F132" s="53"/>
      <c r="G132" s="53"/>
      <c r="H132" s="53"/>
      <c r="I132" s="53"/>
      <c r="J132" s="53"/>
      <c r="K132" s="53"/>
      <c r="L132" s="49"/>
      <c r="M132" s="49"/>
      <c r="N132" s="49"/>
      <c r="O132" s="49"/>
      <c r="P132" s="49"/>
      <c r="Q132" s="49"/>
      <c r="R132" s="49"/>
      <c r="S132" s="49"/>
      <c r="T132" s="49"/>
      <c r="U132" s="49"/>
      <c r="V132" s="49"/>
    </row>
    <row r="133" spans="1:52" s="7" customFormat="1" x14ac:dyDescent="0.25">
      <c r="B133" s="52" t="s">
        <v>20</v>
      </c>
      <c r="C133" s="53"/>
      <c r="D133" s="53"/>
      <c r="E133" s="53"/>
      <c r="F133" s="53"/>
      <c r="G133" s="53"/>
      <c r="H133" s="53"/>
      <c r="I133" s="53"/>
      <c r="J133" s="53"/>
      <c r="K133" s="53"/>
      <c r="L133" s="49"/>
      <c r="M133" s="49"/>
      <c r="N133" s="49"/>
      <c r="O133" s="49"/>
      <c r="P133" s="49"/>
      <c r="Q133" s="49"/>
      <c r="R133" s="49"/>
      <c r="S133" s="49"/>
      <c r="T133" s="49"/>
      <c r="U133" s="49"/>
      <c r="V133" s="49"/>
    </row>
    <row r="134" spans="1:52" s="7" customFormat="1" x14ac:dyDescent="0.25">
      <c r="B134" s="52" t="s">
        <v>319</v>
      </c>
      <c r="C134" s="53" t="s">
        <v>320</v>
      </c>
      <c r="D134" s="53"/>
      <c r="E134" s="53"/>
      <c r="F134" s="53"/>
      <c r="G134" s="53"/>
      <c r="H134" s="53"/>
      <c r="I134" s="53"/>
      <c r="J134" s="53"/>
      <c r="K134" s="53"/>
      <c r="L134" s="49"/>
      <c r="M134" s="49"/>
      <c r="N134" s="49"/>
      <c r="O134" s="49"/>
      <c r="P134" s="49"/>
      <c r="Q134" s="49"/>
      <c r="R134" s="49"/>
      <c r="S134" s="49"/>
      <c r="T134" s="49"/>
      <c r="U134" s="49"/>
      <c r="V134" s="49"/>
    </row>
    <row r="135" spans="1:52" s="7" customFormat="1" x14ac:dyDescent="0.25">
      <c r="A135" s="7" t="s">
        <v>321</v>
      </c>
      <c r="B135" s="52">
        <f>B97+B73</f>
        <v>2236</v>
      </c>
      <c r="C135" s="52">
        <f>'[11]Table 2.1'!$DI$137</f>
        <v>0.33261723090599304</v>
      </c>
      <c r="D135" s="53"/>
      <c r="E135" s="53"/>
      <c r="F135" s="53"/>
      <c r="G135" s="53"/>
      <c r="H135" s="53"/>
      <c r="I135" s="53"/>
      <c r="J135" s="53"/>
      <c r="K135" s="53"/>
      <c r="L135" s="49"/>
      <c r="M135" s="49"/>
      <c r="N135" s="49"/>
      <c r="O135" s="49"/>
      <c r="P135" s="49"/>
      <c r="Q135" s="49"/>
      <c r="R135" s="49"/>
      <c r="S135" s="49"/>
      <c r="T135" s="49"/>
      <c r="U135" s="49"/>
      <c r="V135" s="49"/>
    </row>
    <row r="136" spans="1:52" s="7" customFormat="1" x14ac:dyDescent="0.25">
      <c r="A136" s="7" t="s">
        <v>322</v>
      </c>
      <c r="B136" s="52">
        <f>B121</f>
        <v>2516</v>
      </c>
      <c r="C136" s="52">
        <f>'[11]Table 2.1'!$DJ$137</f>
        <v>0.46387671426551674</v>
      </c>
      <c r="D136" s="311">
        <f>AVERAGE(C135:C136)</f>
        <v>0.39824697258575492</v>
      </c>
      <c r="E136" s="53"/>
      <c r="F136" s="53"/>
      <c r="G136" s="53"/>
      <c r="H136" s="53"/>
      <c r="I136" s="53"/>
      <c r="J136" s="53"/>
      <c r="K136" s="53"/>
      <c r="L136" s="49"/>
      <c r="M136" s="49"/>
      <c r="N136" s="49"/>
      <c r="O136" s="49"/>
      <c r="P136" s="49"/>
      <c r="Q136" s="49"/>
      <c r="R136" s="49"/>
      <c r="S136" s="49"/>
      <c r="T136" s="49"/>
      <c r="U136" s="49"/>
      <c r="V136" s="49"/>
    </row>
    <row r="137" spans="1:52" s="7" customFormat="1" x14ac:dyDescent="0.25">
      <c r="A137" s="7" t="s">
        <v>323</v>
      </c>
      <c r="B137" s="52">
        <f>SUM(B135:B136)</f>
        <v>4752</v>
      </c>
      <c r="C137" s="53" t="s">
        <v>324</v>
      </c>
      <c r="D137" s="53"/>
      <c r="E137" s="53"/>
      <c r="F137" s="53"/>
      <c r="G137" s="53"/>
      <c r="H137" s="53"/>
      <c r="I137" s="53"/>
      <c r="J137" s="53"/>
      <c r="K137" s="53"/>
      <c r="L137" s="49"/>
      <c r="M137" s="49"/>
      <c r="N137" s="49"/>
      <c r="O137" s="49"/>
      <c r="P137" s="49"/>
      <c r="Q137" s="49"/>
      <c r="R137" s="49"/>
      <c r="S137" s="49"/>
      <c r="T137" s="49"/>
      <c r="U137" s="49"/>
      <c r="V137" s="49"/>
    </row>
    <row r="138" spans="1:52" s="7" customFormat="1" x14ac:dyDescent="0.25">
      <c r="A138" s="35" t="s">
        <v>174</v>
      </c>
      <c r="B138" s="52">
        <f>B137*C138/100</f>
        <v>3326.4</v>
      </c>
      <c r="C138" s="7">
        <v>70</v>
      </c>
      <c r="D138" s="53"/>
      <c r="E138" s="53"/>
      <c r="F138" s="53"/>
      <c r="G138" s="53"/>
      <c r="H138" s="53"/>
      <c r="I138" s="53"/>
      <c r="J138" s="53"/>
      <c r="K138" s="53"/>
      <c r="L138" s="49"/>
      <c r="M138" s="49"/>
      <c r="N138" s="49"/>
      <c r="O138" s="49"/>
      <c r="P138" s="49"/>
      <c r="Q138" s="49"/>
      <c r="R138" s="49"/>
      <c r="S138" s="49"/>
      <c r="T138" s="49"/>
      <c r="U138" s="49"/>
      <c r="V138" s="49"/>
    </row>
    <row r="139" spans="1:52" s="7" customFormat="1" x14ac:dyDescent="0.25">
      <c r="A139" s="35" t="s">
        <v>157</v>
      </c>
      <c r="B139" s="52">
        <f t="shared" ref="B139:B140" si="0">B138*C139/100</f>
        <v>665.28</v>
      </c>
      <c r="C139" s="53">
        <v>20</v>
      </c>
      <c r="D139" s="53"/>
      <c r="E139" s="53"/>
      <c r="F139" s="53"/>
      <c r="G139" s="53"/>
      <c r="H139" s="53"/>
      <c r="I139" s="53"/>
      <c r="J139" s="53"/>
      <c r="K139" s="53"/>
      <c r="L139" s="49"/>
      <c r="M139" s="49"/>
      <c r="N139" s="49"/>
      <c r="O139" s="49"/>
      <c r="P139" s="49"/>
      <c r="Q139" s="49"/>
      <c r="R139" s="49"/>
      <c r="S139" s="49"/>
      <c r="T139" s="49"/>
      <c r="U139" s="49"/>
      <c r="V139" s="49"/>
    </row>
    <row r="140" spans="1:52" s="7" customFormat="1" x14ac:dyDescent="0.25">
      <c r="A140" s="35" t="s">
        <v>158</v>
      </c>
      <c r="B140" s="52">
        <f t="shared" si="0"/>
        <v>66.527999999999992</v>
      </c>
      <c r="C140" s="53">
        <v>10</v>
      </c>
      <c r="D140" s="53"/>
      <c r="E140" s="53"/>
      <c r="F140" s="53"/>
      <c r="G140" s="53"/>
      <c r="H140" s="53"/>
      <c r="I140" s="53"/>
      <c r="J140" s="53"/>
      <c r="K140" s="53"/>
      <c r="L140" s="49"/>
      <c r="M140" s="49"/>
      <c r="N140" s="49"/>
      <c r="O140" s="49"/>
      <c r="P140" s="49"/>
      <c r="Q140" s="49"/>
      <c r="R140" s="49"/>
      <c r="S140" s="49"/>
      <c r="T140" s="49"/>
      <c r="U140" s="49"/>
      <c r="V140" s="49"/>
    </row>
    <row r="141" spans="1:52" s="7" customFormat="1" x14ac:dyDescent="0.25">
      <c r="B141" s="52"/>
      <c r="C141" s="53"/>
      <c r="D141" s="53" t="s">
        <v>20</v>
      </c>
      <c r="F141" s="53"/>
      <c r="G141" s="53" t="s">
        <v>8</v>
      </c>
      <c r="H141" s="53"/>
      <c r="I141" s="53"/>
      <c r="J141" s="53"/>
      <c r="K141" s="53"/>
      <c r="L141" s="49"/>
      <c r="M141" s="49"/>
      <c r="N141" s="49"/>
      <c r="O141" s="49"/>
      <c r="P141" s="49"/>
      <c r="Q141" s="49"/>
      <c r="R141" s="49"/>
      <c r="S141" s="49"/>
      <c r="T141" s="49"/>
      <c r="U141" s="49"/>
      <c r="V141" s="49"/>
    </row>
    <row r="142" spans="1:52" s="7" customFormat="1" x14ac:dyDescent="0.25">
      <c r="A142" s="323" t="s">
        <v>325</v>
      </c>
      <c r="B142" s="297" t="s">
        <v>59</v>
      </c>
      <c r="C142" s="297"/>
      <c r="D142" s="324" t="s">
        <v>51</v>
      </c>
      <c r="E142" s="297"/>
      <c r="F142" s="324" t="s">
        <v>51</v>
      </c>
      <c r="G142" s="325" t="s">
        <v>326</v>
      </c>
      <c r="H142" s="325"/>
      <c r="I142" s="325"/>
      <c r="J142" s="53"/>
      <c r="K142" s="53"/>
      <c r="L142" s="49"/>
      <c r="M142" s="49"/>
      <c r="N142" s="49"/>
      <c r="O142" s="49"/>
      <c r="P142" s="49"/>
      <c r="Q142" s="49"/>
      <c r="R142" s="49"/>
      <c r="S142" s="49"/>
      <c r="T142" s="49"/>
      <c r="U142" s="49"/>
      <c r="V142" s="49"/>
    </row>
    <row r="143" spans="1:52" s="7" customFormat="1" x14ac:dyDescent="0.25">
      <c r="A143" s="297" t="s">
        <v>323</v>
      </c>
      <c r="B143" s="325">
        <f>[9]definition!B144</f>
        <v>1637.6744755311063</v>
      </c>
      <c r="C143" s="325"/>
      <c r="D143" s="325"/>
      <c r="E143" s="297" t="s">
        <v>16</v>
      </c>
      <c r="F143" s="325" t="s">
        <v>20</v>
      </c>
      <c r="G143" s="325"/>
      <c r="H143" s="325" t="s">
        <v>8</v>
      </c>
      <c r="I143" s="325"/>
      <c r="J143" s="53"/>
      <c r="K143" s="53"/>
      <c r="L143" s="49"/>
      <c r="M143" s="49"/>
      <c r="N143" s="49"/>
      <c r="O143" s="49"/>
      <c r="P143" s="49"/>
      <c r="Q143" s="49"/>
      <c r="R143" s="49"/>
      <c r="S143" s="49"/>
      <c r="T143" s="49"/>
      <c r="U143" s="49"/>
      <c r="V143" s="49"/>
    </row>
    <row r="144" spans="1:52" s="7" customFormat="1" x14ac:dyDescent="0.25">
      <c r="A144" s="326" t="s">
        <v>174</v>
      </c>
      <c r="B144" s="325">
        <f>[9]definition!B145</f>
        <v>1324.7287296092552</v>
      </c>
      <c r="C144" s="327">
        <f>B144/'[11]Table 2.1'!$DO$136</f>
        <v>1.1021221065319351E-3</v>
      </c>
      <c r="D144" s="328">
        <v>0.35</v>
      </c>
      <c r="E144" s="297"/>
      <c r="F144" s="325">
        <f>D144*B144</f>
        <v>463.65505536323928</v>
      </c>
      <c r="G144" s="325">
        <f>('4.Turnover'!$N$15/'4.Turnover'!$K$15-1)*100</f>
        <v>3.540679297910887</v>
      </c>
      <c r="H144" s="325">
        <f>F144*(1+G144/100)</f>
        <v>480.07159392220274</v>
      </c>
      <c r="I144" s="329" t="e">
        <f>H144/'5.ScenarioB'!#REF!</f>
        <v>#REF!</v>
      </c>
      <c r="J144" s="53"/>
      <c r="K144" s="53"/>
      <c r="L144" s="49"/>
      <c r="M144" s="49"/>
      <c r="N144" s="49"/>
      <c r="O144" s="49"/>
      <c r="P144" s="49"/>
      <c r="Q144" s="49"/>
      <c r="R144" s="49"/>
      <c r="S144" s="49"/>
      <c r="T144" s="49"/>
      <c r="U144" s="49"/>
      <c r="V144" s="49"/>
    </row>
    <row r="145" spans="1:22" s="7" customFormat="1" x14ac:dyDescent="0.25">
      <c r="A145" s="326" t="s">
        <v>157</v>
      </c>
      <c r="B145" s="325">
        <f>[9]definition!B146</f>
        <v>264.94574592185103</v>
      </c>
      <c r="C145" s="327">
        <f>B145/'[11]Table 2.1'!$DO$136</f>
        <v>2.2042442130638698E-4</v>
      </c>
      <c r="D145" s="328">
        <f>1015.38/3738.48</f>
        <v>0.27160236245746933</v>
      </c>
      <c r="E145" s="297"/>
      <c r="F145" s="325">
        <f>D145*B145</f>
        <v>71.959890515431155</v>
      </c>
      <c r="G145" s="325">
        <f>('4.Turnover'!$N$38/'4.Turnover'!$K$38-1)*100</f>
        <v>19.304536405447294</v>
      </c>
      <c r="H145" s="325">
        <f>F145*(1+G145/100)</f>
        <v>85.851413777302582</v>
      </c>
      <c r="I145" s="329">
        <f>H145/'[9]3.Macro'!$O$14</f>
        <v>1.8213787042711547E-4</v>
      </c>
      <c r="J145" s="53"/>
      <c r="K145" s="53"/>
      <c r="L145" s="49"/>
      <c r="M145" s="49"/>
      <c r="N145" s="49"/>
      <c r="O145" s="49"/>
      <c r="P145" s="49"/>
      <c r="Q145" s="49"/>
      <c r="R145" s="49"/>
      <c r="S145" s="49"/>
      <c r="T145" s="49"/>
      <c r="U145" s="49"/>
      <c r="V145" s="49"/>
    </row>
    <row r="146" spans="1:22" s="7" customFormat="1" x14ac:dyDescent="0.25">
      <c r="A146" s="326" t="s">
        <v>158</v>
      </c>
      <c r="B146" s="325">
        <f>[9]definition!B147</f>
        <v>48</v>
      </c>
      <c r="C146" s="327">
        <f>B146/'[11]Table 2.1'!$DO$136</f>
        <v>3.9934108720610992E-5</v>
      </c>
      <c r="D146" s="328">
        <f>600.71/2315.7</f>
        <v>0.2594075225633718</v>
      </c>
      <c r="E146" s="297"/>
      <c r="F146" s="325">
        <f>D146*B146</f>
        <v>12.451561083041845</v>
      </c>
      <c r="G146" s="325">
        <f>('4.Turnover'!$N$61/'4.Turnover'!$K$61-1)*100</f>
        <v>-1.9083456209024408</v>
      </c>
      <c r="H146" s="325">
        <f>F146*(1+G146/100)</f>
        <v>12.213942262379623</v>
      </c>
      <c r="I146" s="329">
        <f>H146/'[9]3.Macro'!$O$14</f>
        <v>2.5912461254979533E-5</v>
      </c>
      <c r="J146" s="53"/>
      <c r="K146" s="53"/>
      <c r="L146" s="49"/>
      <c r="M146" s="49"/>
      <c r="N146" s="49"/>
      <c r="O146" s="49"/>
      <c r="P146" s="49"/>
      <c r="Q146" s="49"/>
      <c r="R146" s="49"/>
      <c r="S146" s="49"/>
      <c r="T146" s="49"/>
      <c r="U146" s="49"/>
      <c r="V146" s="49"/>
    </row>
    <row r="147" spans="1:22" s="7" customFormat="1" x14ac:dyDescent="0.25">
      <c r="A147" s="297"/>
      <c r="B147" s="323"/>
      <c r="C147" s="325"/>
      <c r="D147" s="325"/>
      <c r="E147" s="297"/>
      <c r="F147" s="325"/>
      <c r="G147" s="325"/>
      <c r="H147" s="325">
        <f>SUM(H144:H146)</f>
        <v>578.13694996188497</v>
      </c>
      <c r="I147" s="329">
        <f>H147/'[9]3.Macro'!$O$14</f>
        <v>1.2265451231174126E-3</v>
      </c>
      <c r="J147" s="53"/>
      <c r="K147" s="53"/>
      <c r="L147" s="49"/>
      <c r="M147" s="49"/>
      <c r="N147" s="49"/>
      <c r="O147" s="49"/>
      <c r="P147" s="49"/>
      <c r="Q147" s="49"/>
      <c r="R147" s="49"/>
      <c r="S147" s="49"/>
      <c r="T147" s="49"/>
      <c r="U147" s="49"/>
      <c r="V147" s="49"/>
    </row>
    <row r="148" spans="1:22" s="7" customFormat="1" x14ac:dyDescent="0.25">
      <c r="A148" s="7" t="s">
        <v>16</v>
      </c>
      <c r="B148" s="52"/>
      <c r="C148" s="53"/>
      <c r="D148" s="53"/>
      <c r="E148" s="53"/>
      <c r="F148" s="53"/>
      <c r="G148" s="53"/>
      <c r="H148" s="53"/>
      <c r="I148" s="53"/>
      <c r="J148" s="53"/>
      <c r="K148" s="53"/>
      <c r="L148" s="49"/>
      <c r="M148" s="49"/>
      <c r="N148" s="49"/>
      <c r="O148" s="49"/>
      <c r="P148" s="49"/>
      <c r="Q148" s="49"/>
      <c r="R148" s="49"/>
      <c r="S148" s="49"/>
      <c r="T148" s="49"/>
      <c r="U148" s="49"/>
      <c r="V148" s="49"/>
    </row>
    <row r="149" spans="1:22" s="7" customFormat="1" x14ac:dyDescent="0.25">
      <c r="A149" s="7" t="s">
        <v>327</v>
      </c>
      <c r="B149" s="52"/>
      <c r="C149" s="53"/>
      <c r="D149" s="53"/>
      <c r="E149" s="53"/>
      <c r="F149" s="53"/>
      <c r="G149" s="53"/>
      <c r="H149" s="53"/>
      <c r="I149" s="53"/>
      <c r="J149" s="53"/>
      <c r="K149" s="53"/>
      <c r="L149" s="49"/>
      <c r="M149" s="49"/>
      <c r="N149" s="49"/>
      <c r="O149" s="49"/>
      <c r="P149" s="49"/>
      <c r="Q149" s="49"/>
      <c r="R149" s="49"/>
      <c r="S149" s="49"/>
      <c r="T149" s="49"/>
      <c r="U149" s="49"/>
      <c r="V149" s="49"/>
    </row>
    <row r="150" spans="1:22" s="7" customFormat="1" x14ac:dyDescent="0.25">
      <c r="A150" s="7" t="s">
        <v>328</v>
      </c>
      <c r="B150" s="52"/>
      <c r="C150" s="53"/>
      <c r="D150" s="53"/>
      <c r="E150" s="53"/>
      <c r="F150" s="53"/>
      <c r="G150" s="53"/>
      <c r="H150" s="53"/>
      <c r="I150" s="53"/>
      <c r="J150" s="53"/>
      <c r="K150" s="53"/>
      <c r="L150" s="49"/>
      <c r="M150" s="49"/>
      <c r="N150" s="49"/>
      <c r="O150" s="49"/>
      <c r="P150" s="49"/>
      <c r="Q150" s="49"/>
      <c r="R150" s="49"/>
      <c r="S150" s="49"/>
      <c r="T150" s="49"/>
      <c r="U150" s="49"/>
      <c r="V150" s="49"/>
    </row>
    <row r="151" spans="1:22" s="7" customFormat="1" x14ac:dyDescent="0.25">
      <c r="B151" s="52"/>
      <c r="C151" s="53"/>
      <c r="D151" s="53"/>
      <c r="E151" s="53"/>
      <c r="F151" s="53"/>
      <c r="G151" s="53"/>
      <c r="H151" s="53"/>
      <c r="I151" s="53"/>
      <c r="J151" s="53"/>
      <c r="K151" s="53"/>
      <c r="L151" s="49"/>
      <c r="M151" s="49"/>
      <c r="N151" s="49"/>
      <c r="O151" s="49"/>
      <c r="P151" s="49"/>
      <c r="Q151" s="49"/>
      <c r="R151" s="49"/>
      <c r="S151" s="49"/>
      <c r="T151" s="49"/>
      <c r="U151" s="49"/>
      <c r="V151" s="49"/>
    </row>
    <row r="152" spans="1:22" s="7" customFormat="1" x14ac:dyDescent="0.25">
      <c r="B152" s="52"/>
      <c r="C152" s="53"/>
      <c r="D152" s="53"/>
      <c r="E152" s="53"/>
      <c r="F152" s="53"/>
      <c r="G152" s="53"/>
      <c r="H152" s="53"/>
      <c r="I152" s="53"/>
      <c r="J152" s="53"/>
      <c r="K152" s="53"/>
      <c r="L152" s="49"/>
      <c r="M152" s="49"/>
      <c r="N152" s="49"/>
      <c r="O152" s="49"/>
      <c r="P152" s="49"/>
      <c r="Q152" s="49"/>
      <c r="R152" s="49"/>
      <c r="S152" s="49"/>
      <c r="T152" s="49"/>
      <c r="U152" s="49"/>
      <c r="V152" s="49"/>
    </row>
    <row r="153" spans="1:22" s="7" customFormat="1" x14ac:dyDescent="0.25">
      <c r="B153" s="52"/>
      <c r="C153" s="53"/>
      <c r="D153" s="53"/>
      <c r="E153" s="53"/>
      <c r="F153" s="53"/>
      <c r="G153" s="53"/>
      <c r="H153" s="53"/>
      <c r="I153" s="53"/>
      <c r="J153" s="53"/>
      <c r="K153" s="53"/>
      <c r="L153" s="49"/>
      <c r="M153" s="49"/>
      <c r="N153" s="49"/>
      <c r="O153" s="49"/>
      <c r="P153" s="49"/>
      <c r="Q153" s="49"/>
      <c r="R153" s="49"/>
      <c r="S153" s="49"/>
      <c r="T153" s="49"/>
      <c r="U153" s="49"/>
      <c r="V153" s="49"/>
    </row>
    <row r="154" spans="1:22" s="7" customFormat="1" x14ac:dyDescent="0.25">
      <c r="B154" s="35"/>
      <c r="C154" s="53"/>
      <c r="D154" s="53"/>
      <c r="E154" s="53"/>
      <c r="F154" s="53"/>
      <c r="G154" s="53"/>
      <c r="H154" s="53"/>
      <c r="I154" s="53"/>
      <c r="J154" s="53"/>
      <c r="K154" s="53"/>
      <c r="L154" s="49"/>
      <c r="M154" s="49"/>
      <c r="N154" s="49"/>
      <c r="O154" s="49"/>
      <c r="P154" s="49"/>
      <c r="Q154" s="49"/>
      <c r="R154" s="49"/>
      <c r="S154" s="49"/>
      <c r="T154" s="49"/>
      <c r="U154" s="49"/>
      <c r="V154" s="49"/>
    </row>
    <row r="155" spans="1:22" s="7" customFormat="1" x14ac:dyDescent="0.25">
      <c r="B155" s="52"/>
      <c r="C155" s="53"/>
      <c r="D155" s="53"/>
      <c r="E155" s="53"/>
      <c r="F155" s="53"/>
      <c r="G155" s="53"/>
      <c r="H155" s="53"/>
      <c r="I155" s="53"/>
      <c r="J155" s="53"/>
      <c r="K155" s="53"/>
      <c r="L155" s="49"/>
      <c r="M155" s="49"/>
      <c r="N155" s="49"/>
      <c r="O155" s="49"/>
      <c r="P155" s="49"/>
      <c r="Q155" s="49"/>
      <c r="R155" s="49"/>
      <c r="S155" s="49"/>
      <c r="T155" s="49"/>
      <c r="U155" s="49"/>
      <c r="V155" s="49"/>
    </row>
    <row r="156" spans="1:22" s="7" customFormat="1" x14ac:dyDescent="0.25">
      <c r="B156" s="52"/>
      <c r="C156" s="53"/>
      <c r="D156" s="53"/>
      <c r="E156" s="53"/>
      <c r="F156" s="53"/>
      <c r="G156" s="53"/>
      <c r="H156" s="53"/>
      <c r="I156" s="53"/>
      <c r="J156" s="53"/>
      <c r="K156" s="53"/>
      <c r="L156" s="49"/>
      <c r="M156" s="49"/>
      <c r="N156" s="49"/>
      <c r="O156" s="49"/>
      <c r="P156" s="49"/>
      <c r="Q156" s="49"/>
      <c r="R156" s="49"/>
      <c r="S156" s="49"/>
      <c r="T156" s="49"/>
      <c r="U156" s="49"/>
      <c r="V156" s="49"/>
    </row>
    <row r="157" spans="1:22" s="7" customFormat="1" x14ac:dyDescent="0.25">
      <c r="B157" s="52"/>
      <c r="C157" s="53"/>
      <c r="D157" s="53"/>
      <c r="E157" s="53"/>
      <c r="F157" s="53"/>
      <c r="G157" s="53"/>
      <c r="H157" s="53"/>
      <c r="I157" s="53"/>
      <c r="J157" s="53"/>
      <c r="K157" s="53"/>
      <c r="L157" s="49"/>
      <c r="M157" s="49"/>
      <c r="N157" s="49"/>
      <c r="O157" s="49"/>
      <c r="P157" s="49"/>
      <c r="Q157" s="49"/>
      <c r="R157" s="49"/>
      <c r="S157" s="49"/>
      <c r="T157" s="49"/>
      <c r="U157" s="49"/>
      <c r="V157" s="49"/>
    </row>
    <row r="158" spans="1:22" s="7" customFormat="1" x14ac:dyDescent="0.25">
      <c r="B158" s="52"/>
      <c r="C158" s="53"/>
      <c r="D158" s="53"/>
      <c r="E158" s="53"/>
      <c r="F158" s="53"/>
      <c r="G158" s="53"/>
      <c r="H158" s="53"/>
      <c r="I158" s="53"/>
      <c r="J158" s="53"/>
      <c r="K158" s="53"/>
      <c r="L158" s="49"/>
      <c r="M158" s="49"/>
      <c r="N158" s="49"/>
      <c r="O158" s="49"/>
      <c r="P158" s="49"/>
      <c r="Q158" s="49"/>
      <c r="R158" s="49"/>
      <c r="S158" s="49"/>
      <c r="T158" s="49"/>
      <c r="U158" s="49"/>
      <c r="V158" s="49"/>
    </row>
    <row r="159" spans="1:22" s="7" customFormat="1" x14ac:dyDescent="0.25">
      <c r="B159" s="52"/>
      <c r="C159" s="53"/>
      <c r="D159" s="53"/>
      <c r="E159" s="53"/>
      <c r="F159" s="53"/>
      <c r="G159" s="53"/>
      <c r="H159" s="53"/>
      <c r="I159" s="53"/>
      <c r="J159" s="53"/>
      <c r="K159" s="53"/>
      <c r="L159" s="49"/>
      <c r="M159" s="49"/>
      <c r="N159" s="49"/>
      <c r="O159" s="49"/>
      <c r="P159" s="49"/>
      <c r="Q159" s="49"/>
      <c r="R159" s="49"/>
      <c r="S159" s="49"/>
      <c r="T159" s="49"/>
      <c r="U159" s="49"/>
      <c r="V159" s="49"/>
    </row>
    <row r="160" spans="1:22" s="7" customFormat="1" x14ac:dyDescent="0.25">
      <c r="B160" s="52"/>
      <c r="C160" s="53"/>
      <c r="D160" s="53"/>
      <c r="E160" s="53"/>
      <c r="F160" s="53"/>
      <c r="G160" s="53"/>
      <c r="H160" s="53"/>
      <c r="I160" s="53"/>
      <c r="J160" s="53"/>
      <c r="K160" s="53"/>
      <c r="L160" s="49"/>
      <c r="M160" s="49"/>
      <c r="N160" s="49"/>
      <c r="O160" s="49"/>
      <c r="P160" s="49"/>
      <c r="Q160" s="49"/>
      <c r="R160" s="49"/>
      <c r="S160" s="49"/>
      <c r="T160" s="49"/>
      <c r="U160" s="49"/>
      <c r="V160" s="49"/>
    </row>
    <row r="161" spans="2:23" s="7" customFormat="1" x14ac:dyDescent="0.25">
      <c r="B161" s="52"/>
      <c r="C161" s="53"/>
      <c r="D161" s="53"/>
      <c r="E161" s="53"/>
      <c r="F161" s="53"/>
      <c r="G161" s="53"/>
      <c r="H161" s="53"/>
      <c r="I161" s="53"/>
      <c r="J161" s="53"/>
      <c r="K161" s="53"/>
      <c r="L161" s="49"/>
      <c r="M161" s="49"/>
      <c r="N161" s="49"/>
      <c r="O161" s="49"/>
      <c r="P161" s="49"/>
      <c r="Q161" s="49"/>
      <c r="R161" s="49"/>
      <c r="S161" s="49"/>
      <c r="T161" s="49"/>
      <c r="U161" s="49"/>
      <c r="V161" s="49"/>
    </row>
    <row r="162" spans="2:23" s="7" customFormat="1" x14ac:dyDescent="0.25">
      <c r="B162" s="52"/>
      <c r="C162" s="53"/>
      <c r="D162" s="53"/>
      <c r="E162" s="53"/>
      <c r="F162" s="53"/>
      <c r="G162" s="53"/>
      <c r="H162" s="53"/>
      <c r="I162" s="53"/>
      <c r="J162" s="53"/>
      <c r="K162" s="53"/>
      <c r="L162" s="49"/>
      <c r="M162" s="49"/>
      <c r="N162" s="49"/>
      <c r="O162" s="49"/>
      <c r="P162" s="49"/>
      <c r="Q162" s="49"/>
      <c r="R162" s="49"/>
      <c r="S162" s="49"/>
      <c r="T162" s="49"/>
      <c r="U162" s="49"/>
      <c r="V162" s="49"/>
    </row>
    <row r="163" spans="2:23" s="7" customFormat="1" x14ac:dyDescent="0.25">
      <c r="B163" s="52"/>
      <c r="C163" s="53"/>
      <c r="D163" s="53"/>
      <c r="E163" s="53"/>
      <c r="F163" s="53"/>
      <c r="G163" s="53"/>
      <c r="H163" s="53"/>
      <c r="I163" s="53"/>
      <c r="J163" s="53"/>
      <c r="K163" s="53"/>
      <c r="L163" s="49"/>
      <c r="M163" s="49"/>
      <c r="N163" s="49"/>
      <c r="O163" s="49"/>
      <c r="P163" s="49"/>
      <c r="Q163" s="49"/>
      <c r="R163" s="49"/>
      <c r="S163" s="49"/>
      <c r="T163" s="49"/>
      <c r="U163" s="49"/>
      <c r="V163" s="49"/>
    </row>
    <row r="164" spans="2:23" s="7" customFormat="1" x14ac:dyDescent="0.25">
      <c r="B164" s="52"/>
      <c r="C164" s="53"/>
      <c r="D164" s="35"/>
      <c r="E164" s="35"/>
      <c r="F164" s="35"/>
      <c r="G164" s="35"/>
      <c r="H164" s="35"/>
      <c r="I164" s="35"/>
      <c r="J164" s="35"/>
      <c r="K164" s="35"/>
      <c r="L164" s="35"/>
      <c r="M164" s="35"/>
      <c r="N164" s="35"/>
      <c r="O164" s="35"/>
      <c r="P164" s="35"/>
      <c r="Q164" s="35"/>
      <c r="R164" s="35"/>
      <c r="S164" s="35"/>
      <c r="T164" s="35"/>
      <c r="U164" s="35"/>
      <c r="V164" s="35"/>
    </row>
    <row r="165" spans="2:23" s="7" customFormat="1" x14ac:dyDescent="0.25">
      <c r="B165" s="57"/>
      <c r="C165" s="53"/>
      <c r="D165" s="52"/>
      <c r="E165" s="52"/>
      <c r="F165" s="52"/>
      <c r="G165" s="52"/>
      <c r="H165" s="52"/>
      <c r="I165" s="52"/>
      <c r="J165" s="52"/>
      <c r="K165" s="52"/>
      <c r="L165" s="52"/>
      <c r="M165" s="52"/>
      <c r="N165" s="52"/>
      <c r="O165" s="52"/>
      <c r="P165" s="52"/>
      <c r="Q165" s="52"/>
      <c r="R165" s="52"/>
      <c r="S165" s="52"/>
      <c r="T165" s="52"/>
      <c r="U165" s="52"/>
      <c r="V165" s="52"/>
    </row>
    <row r="166" spans="2:23" s="7" customFormat="1" x14ac:dyDescent="0.25">
      <c r="B166" s="55"/>
      <c r="C166" s="56"/>
      <c r="D166" s="56"/>
      <c r="E166" s="56"/>
      <c r="F166" s="56"/>
      <c r="G166" s="56"/>
      <c r="H166" s="56"/>
      <c r="I166" s="56"/>
      <c r="J166" s="56"/>
      <c r="K166" s="56"/>
      <c r="L166" s="56"/>
      <c r="M166" s="56"/>
      <c r="N166" s="56"/>
      <c r="O166" s="56"/>
      <c r="P166" s="56"/>
      <c r="Q166" s="56"/>
      <c r="R166" s="56"/>
      <c r="S166" s="56"/>
      <c r="T166" s="56"/>
      <c r="U166" s="56"/>
      <c r="V166" s="56"/>
    </row>
    <row r="167" spans="2:23" s="7" customFormat="1" x14ac:dyDescent="0.25">
      <c r="B167" s="52"/>
      <c r="C167" s="53"/>
      <c r="D167" s="52"/>
      <c r="E167" s="52"/>
      <c r="F167" s="52"/>
      <c r="G167" s="52"/>
      <c r="H167" s="52"/>
      <c r="I167" s="52"/>
      <c r="J167" s="52"/>
      <c r="K167" s="52"/>
      <c r="L167" s="52"/>
      <c r="M167" s="52"/>
      <c r="N167" s="52"/>
      <c r="O167" s="52"/>
      <c r="P167" s="52"/>
      <c r="Q167" s="52"/>
      <c r="R167" s="52"/>
      <c r="S167" s="52"/>
      <c r="T167" s="52"/>
      <c r="U167" s="52"/>
      <c r="V167" s="52"/>
      <c r="W167" s="45"/>
    </row>
    <row r="168" spans="2:23" s="7" customFormat="1" x14ac:dyDescent="0.25">
      <c r="B168" s="52"/>
      <c r="C168" s="53"/>
      <c r="D168" s="52"/>
      <c r="E168" s="52"/>
      <c r="F168" s="52"/>
      <c r="G168" s="52"/>
      <c r="H168" s="52"/>
      <c r="I168" s="52"/>
      <c r="J168" s="52"/>
      <c r="K168" s="52"/>
      <c r="L168" s="52"/>
      <c r="M168" s="52"/>
      <c r="N168" s="52"/>
      <c r="O168" s="52"/>
      <c r="P168" s="52"/>
      <c r="Q168" s="52"/>
      <c r="R168" s="52"/>
      <c r="S168" s="52"/>
      <c r="T168" s="52"/>
      <c r="U168" s="52"/>
      <c r="V168" s="52"/>
      <c r="W168" s="45"/>
    </row>
    <row r="169" spans="2:23" s="7" customFormat="1" x14ac:dyDescent="0.25">
      <c r="B169" s="52"/>
      <c r="C169" s="53"/>
      <c r="D169" s="52"/>
      <c r="E169" s="52"/>
      <c r="F169" s="52"/>
      <c r="G169" s="52"/>
      <c r="H169" s="52"/>
      <c r="I169" s="52"/>
      <c r="J169" s="52"/>
      <c r="K169" s="52"/>
      <c r="L169" s="52"/>
      <c r="M169" s="52"/>
      <c r="N169" s="52"/>
      <c r="O169" s="52"/>
      <c r="P169" s="52"/>
      <c r="Q169" s="52"/>
      <c r="R169" s="52"/>
      <c r="S169" s="52"/>
      <c r="T169" s="52"/>
      <c r="U169" s="52"/>
      <c r="V169" s="52"/>
      <c r="W169" s="45"/>
    </row>
    <row r="170" spans="2:23" s="7" customFormat="1" x14ac:dyDescent="0.25">
      <c r="B170" s="52"/>
      <c r="C170" s="53"/>
      <c r="D170" s="52"/>
      <c r="E170" s="52"/>
      <c r="F170" s="52"/>
      <c r="G170" s="52"/>
      <c r="H170" s="52"/>
      <c r="I170" s="52"/>
      <c r="J170" s="52"/>
      <c r="K170" s="52"/>
      <c r="L170" s="52"/>
      <c r="M170" s="52"/>
      <c r="N170" s="52"/>
      <c r="O170" s="52"/>
      <c r="P170" s="52"/>
      <c r="Q170" s="52"/>
      <c r="R170" s="52"/>
      <c r="S170" s="52"/>
      <c r="T170" s="52"/>
      <c r="U170" s="52"/>
      <c r="V170" s="52"/>
      <c r="W170" s="45"/>
    </row>
    <row r="171" spans="2:23" s="7" customFormat="1" x14ac:dyDescent="0.25">
      <c r="B171" s="52"/>
      <c r="C171" s="53"/>
      <c r="D171" s="52"/>
      <c r="E171" s="52"/>
      <c r="F171" s="52"/>
      <c r="G171" s="52"/>
      <c r="H171" s="52"/>
      <c r="I171" s="52"/>
      <c r="J171" s="52"/>
      <c r="K171" s="52"/>
      <c r="L171" s="52"/>
      <c r="M171" s="52"/>
      <c r="N171" s="52"/>
      <c r="O171" s="52"/>
      <c r="P171" s="52"/>
      <c r="Q171" s="52"/>
      <c r="R171" s="52"/>
      <c r="S171" s="52"/>
      <c r="T171" s="52"/>
      <c r="U171" s="52"/>
      <c r="V171" s="52"/>
      <c r="W171" s="45"/>
    </row>
    <row r="172" spans="2:23" s="7" customFormat="1" x14ac:dyDescent="0.25">
      <c r="B172" s="52"/>
      <c r="C172" s="53"/>
      <c r="D172" s="52"/>
      <c r="E172" s="52"/>
      <c r="F172" s="52"/>
      <c r="G172" s="52"/>
      <c r="H172" s="52"/>
      <c r="I172" s="52"/>
      <c r="J172" s="52"/>
      <c r="K172" s="52"/>
      <c r="L172" s="52"/>
      <c r="M172" s="52"/>
      <c r="N172" s="52"/>
      <c r="O172" s="52"/>
      <c r="P172" s="52"/>
      <c r="Q172" s="52"/>
      <c r="R172" s="52"/>
      <c r="S172" s="52"/>
      <c r="T172" s="52"/>
      <c r="U172" s="52"/>
      <c r="V172" s="52"/>
      <c r="W172" s="45"/>
    </row>
    <row r="173" spans="2:23" s="7" customFormat="1" x14ac:dyDescent="0.25">
      <c r="B173" s="52"/>
      <c r="C173" s="53"/>
      <c r="D173" s="52"/>
      <c r="E173" s="52"/>
      <c r="F173" s="52"/>
      <c r="G173" s="52"/>
      <c r="H173" s="52"/>
      <c r="I173" s="52"/>
      <c r="J173" s="52"/>
      <c r="K173" s="52"/>
      <c r="L173" s="52"/>
      <c r="M173" s="52"/>
      <c r="N173" s="52"/>
      <c r="O173" s="52"/>
      <c r="P173" s="52"/>
      <c r="Q173" s="52"/>
      <c r="R173" s="52"/>
      <c r="S173" s="52"/>
      <c r="T173" s="52"/>
      <c r="U173" s="52"/>
      <c r="V173" s="52"/>
      <c r="W173" s="45"/>
    </row>
    <row r="174" spans="2:23" s="7" customFormat="1" x14ac:dyDescent="0.25">
      <c r="B174" s="52"/>
      <c r="C174" s="53"/>
      <c r="D174" s="52"/>
      <c r="E174" s="52"/>
      <c r="F174" s="52"/>
      <c r="G174" s="52"/>
      <c r="H174" s="52"/>
      <c r="I174" s="52"/>
      <c r="J174" s="52"/>
      <c r="K174" s="52"/>
      <c r="L174" s="52"/>
      <c r="M174" s="52"/>
      <c r="N174" s="52"/>
      <c r="O174" s="52"/>
      <c r="P174" s="52"/>
      <c r="Q174" s="52"/>
      <c r="R174" s="52"/>
      <c r="S174" s="52"/>
      <c r="T174" s="52"/>
      <c r="U174" s="52"/>
      <c r="V174" s="52"/>
      <c r="W174" s="45"/>
    </row>
    <row r="175" spans="2:23" s="7" customFormat="1" x14ac:dyDescent="0.25">
      <c r="B175" s="52"/>
      <c r="C175" s="53"/>
      <c r="D175" s="52"/>
      <c r="E175" s="52"/>
      <c r="F175" s="52"/>
      <c r="G175" s="52"/>
      <c r="H175" s="52"/>
      <c r="I175" s="52"/>
      <c r="J175" s="52"/>
      <c r="K175" s="52"/>
      <c r="L175" s="52"/>
      <c r="M175" s="52"/>
      <c r="N175" s="52"/>
      <c r="O175" s="52"/>
      <c r="P175" s="52"/>
      <c r="Q175" s="52"/>
      <c r="R175" s="52"/>
      <c r="S175" s="52"/>
      <c r="T175" s="52"/>
      <c r="U175" s="52"/>
      <c r="V175" s="52"/>
      <c r="W175" s="45"/>
    </row>
    <row r="176" spans="2:23" s="7" customFormat="1" x14ac:dyDescent="0.25">
      <c r="B176" s="52"/>
      <c r="C176" s="53"/>
      <c r="D176" s="52"/>
      <c r="E176" s="52"/>
      <c r="F176" s="52"/>
      <c r="G176" s="52"/>
      <c r="H176" s="52"/>
      <c r="I176" s="52"/>
      <c r="J176" s="52"/>
      <c r="K176" s="52"/>
      <c r="L176" s="52"/>
      <c r="M176" s="52"/>
      <c r="N176" s="52"/>
      <c r="O176" s="52"/>
      <c r="P176" s="52"/>
      <c r="Q176" s="52"/>
      <c r="R176" s="52"/>
      <c r="S176" s="52"/>
      <c r="T176" s="52"/>
      <c r="U176" s="52"/>
      <c r="V176" s="52"/>
      <c r="W176" s="45"/>
    </row>
    <row r="177" spans="2:23" s="7" customFormat="1" x14ac:dyDescent="0.25">
      <c r="B177" s="52"/>
      <c r="C177" s="53"/>
      <c r="D177" s="52"/>
      <c r="E177" s="52"/>
      <c r="F177" s="52"/>
      <c r="G177" s="52"/>
      <c r="H177" s="52"/>
      <c r="I177" s="52"/>
      <c r="J177" s="52"/>
      <c r="K177" s="52"/>
      <c r="L177" s="52"/>
      <c r="M177" s="52"/>
      <c r="N177" s="52"/>
      <c r="O177" s="52"/>
      <c r="P177" s="52"/>
      <c r="Q177" s="52"/>
      <c r="R177" s="52"/>
      <c r="S177" s="52"/>
      <c r="T177" s="52"/>
      <c r="U177" s="52"/>
      <c r="V177" s="52"/>
      <c r="W177" s="45"/>
    </row>
    <row r="178" spans="2:23" s="7" customFormat="1" x14ac:dyDescent="0.25">
      <c r="B178" s="52"/>
      <c r="C178" s="53"/>
      <c r="D178" s="52"/>
      <c r="E178" s="52"/>
      <c r="F178" s="52"/>
      <c r="G178" s="52"/>
      <c r="H178" s="52"/>
      <c r="I178" s="52"/>
      <c r="J178" s="52"/>
      <c r="K178" s="52"/>
      <c r="L178" s="52"/>
      <c r="M178" s="52"/>
      <c r="N178" s="52"/>
      <c r="O178" s="52"/>
      <c r="P178" s="52"/>
      <c r="Q178" s="52"/>
      <c r="R178" s="52"/>
      <c r="S178" s="52"/>
      <c r="T178" s="52"/>
      <c r="U178" s="52"/>
      <c r="V178" s="52"/>
      <c r="W178" s="45"/>
    </row>
    <row r="179" spans="2:23" s="7" customFormat="1" x14ac:dyDescent="0.25">
      <c r="B179" s="52"/>
      <c r="C179" s="53"/>
      <c r="D179" s="52"/>
      <c r="E179" s="52"/>
      <c r="F179" s="52"/>
      <c r="G179" s="52"/>
      <c r="H179" s="52"/>
      <c r="I179" s="52"/>
      <c r="J179" s="52"/>
      <c r="K179" s="52"/>
      <c r="L179" s="52"/>
      <c r="M179" s="52"/>
      <c r="N179" s="52"/>
      <c r="O179" s="52"/>
      <c r="P179" s="52"/>
      <c r="Q179" s="52"/>
      <c r="R179" s="52"/>
      <c r="S179" s="52"/>
      <c r="T179" s="52"/>
      <c r="U179" s="52"/>
      <c r="V179" s="52"/>
      <c r="W179" s="45"/>
    </row>
    <row r="180" spans="2:23" s="7" customFormat="1" x14ac:dyDescent="0.25">
      <c r="B180" s="52"/>
      <c r="C180" s="53"/>
      <c r="D180" s="52"/>
      <c r="E180" s="52"/>
      <c r="F180" s="52"/>
      <c r="G180" s="52"/>
      <c r="H180" s="52"/>
      <c r="I180" s="52"/>
      <c r="J180" s="52"/>
      <c r="K180" s="52"/>
      <c r="L180" s="52"/>
      <c r="M180" s="52"/>
      <c r="N180" s="52"/>
      <c r="O180" s="52"/>
      <c r="P180" s="52"/>
      <c r="Q180" s="52"/>
      <c r="R180" s="52"/>
      <c r="S180" s="52"/>
      <c r="T180" s="52"/>
      <c r="U180" s="52"/>
      <c r="V180" s="52"/>
      <c r="W180" s="45"/>
    </row>
    <row r="181" spans="2:23" s="7" customFormat="1" x14ac:dyDescent="0.25">
      <c r="B181" s="52"/>
      <c r="C181" s="53"/>
      <c r="D181" s="52"/>
      <c r="E181" s="52"/>
      <c r="F181" s="52"/>
      <c r="G181" s="52"/>
      <c r="H181" s="52"/>
      <c r="I181" s="52"/>
      <c r="J181" s="52"/>
      <c r="K181" s="52"/>
      <c r="L181" s="52"/>
      <c r="M181" s="52"/>
      <c r="N181" s="52"/>
      <c r="O181" s="52"/>
      <c r="P181" s="52"/>
      <c r="Q181" s="52"/>
      <c r="R181" s="52"/>
      <c r="S181" s="52"/>
      <c r="T181" s="52"/>
      <c r="U181" s="52"/>
      <c r="V181" s="52"/>
      <c r="W181" s="45"/>
    </row>
    <row r="182" spans="2:23" s="7" customFormat="1" x14ac:dyDescent="0.25">
      <c r="B182" s="52"/>
      <c r="C182" s="53"/>
      <c r="D182" s="52"/>
      <c r="E182" s="52"/>
      <c r="F182" s="52"/>
      <c r="G182" s="52"/>
      <c r="H182" s="52"/>
      <c r="I182" s="52"/>
      <c r="J182" s="52"/>
      <c r="K182" s="52"/>
      <c r="L182" s="52"/>
      <c r="M182" s="52"/>
      <c r="N182" s="52"/>
      <c r="O182" s="52"/>
      <c r="P182" s="52"/>
      <c r="Q182" s="52"/>
      <c r="R182" s="52"/>
      <c r="S182" s="52"/>
      <c r="T182" s="52"/>
      <c r="U182" s="52"/>
      <c r="V182" s="52"/>
      <c r="W182" s="45"/>
    </row>
    <row r="183" spans="2:23" s="7" customFormat="1" x14ac:dyDescent="0.25">
      <c r="B183" s="52"/>
      <c r="C183" s="53"/>
      <c r="D183" s="52"/>
      <c r="E183" s="52"/>
      <c r="F183" s="52"/>
      <c r="G183" s="52"/>
      <c r="H183" s="52"/>
      <c r="I183" s="52"/>
      <c r="J183" s="52"/>
      <c r="K183" s="52"/>
      <c r="L183" s="52"/>
      <c r="M183" s="52"/>
      <c r="N183" s="52"/>
      <c r="O183" s="52"/>
      <c r="P183" s="52"/>
      <c r="Q183" s="52"/>
      <c r="R183" s="52"/>
      <c r="S183" s="52"/>
      <c r="T183" s="52"/>
      <c r="U183" s="52"/>
      <c r="V183" s="52"/>
      <c r="W183" s="45"/>
    </row>
    <row r="184" spans="2:23" s="7" customFormat="1" x14ac:dyDescent="0.25">
      <c r="B184" s="52"/>
      <c r="C184" s="53"/>
      <c r="D184" s="52"/>
      <c r="E184" s="52"/>
      <c r="F184" s="52"/>
      <c r="G184" s="52"/>
      <c r="H184" s="52"/>
      <c r="I184" s="52"/>
      <c r="J184" s="52"/>
      <c r="K184" s="52"/>
      <c r="L184" s="52"/>
      <c r="M184" s="52"/>
      <c r="N184" s="52"/>
      <c r="O184" s="52"/>
      <c r="P184" s="52"/>
      <c r="Q184" s="52"/>
      <c r="R184" s="52"/>
      <c r="S184" s="52"/>
      <c r="T184" s="52"/>
      <c r="U184" s="52"/>
      <c r="V184" s="52"/>
      <c r="W184" s="45"/>
    </row>
    <row r="185" spans="2:23" s="7" customFormat="1" x14ac:dyDescent="0.25">
      <c r="B185" s="52"/>
      <c r="C185" s="53"/>
      <c r="D185" s="52"/>
      <c r="E185" s="52"/>
      <c r="F185" s="52"/>
      <c r="G185" s="52"/>
      <c r="H185" s="52"/>
      <c r="I185" s="52"/>
      <c r="J185" s="52"/>
      <c r="K185" s="52"/>
      <c r="L185" s="52"/>
      <c r="M185" s="52"/>
      <c r="N185" s="52"/>
      <c r="O185" s="52"/>
      <c r="P185" s="52"/>
      <c r="Q185" s="52"/>
      <c r="R185" s="52"/>
      <c r="S185" s="52"/>
      <c r="T185" s="52"/>
      <c r="U185" s="52"/>
      <c r="V185" s="52"/>
      <c r="W185" s="45"/>
    </row>
    <row r="186" spans="2:23" s="7" customFormat="1" x14ac:dyDescent="0.25">
      <c r="B186" s="52"/>
      <c r="C186" s="53"/>
      <c r="D186" s="52"/>
      <c r="E186" s="52"/>
      <c r="F186" s="52"/>
      <c r="G186" s="52"/>
      <c r="H186" s="52"/>
      <c r="I186" s="52"/>
      <c r="J186" s="52"/>
      <c r="K186" s="52"/>
      <c r="L186" s="52"/>
      <c r="M186" s="52"/>
      <c r="N186" s="52"/>
      <c r="O186" s="52"/>
      <c r="P186" s="52"/>
      <c r="Q186" s="52"/>
      <c r="R186" s="52"/>
      <c r="S186" s="52"/>
      <c r="T186" s="52"/>
      <c r="U186" s="52"/>
      <c r="V186" s="52"/>
      <c r="W186" s="45"/>
    </row>
    <row r="187" spans="2:23" s="7" customFormat="1" x14ac:dyDescent="0.25">
      <c r="B187" s="52"/>
      <c r="C187" s="53"/>
      <c r="D187" s="52"/>
      <c r="E187" s="52"/>
      <c r="F187" s="52"/>
      <c r="G187" s="52"/>
      <c r="H187" s="52"/>
      <c r="I187" s="52"/>
      <c r="J187" s="52"/>
      <c r="K187" s="52"/>
      <c r="L187" s="52"/>
      <c r="M187" s="52"/>
      <c r="N187" s="52"/>
      <c r="O187" s="52"/>
      <c r="P187" s="52"/>
      <c r="Q187" s="52"/>
      <c r="R187" s="52"/>
      <c r="S187" s="52"/>
      <c r="T187" s="52"/>
      <c r="U187" s="52"/>
      <c r="V187" s="52"/>
      <c r="W187" s="45"/>
    </row>
    <row r="188" spans="2:23" s="7" customFormat="1" x14ac:dyDescent="0.25">
      <c r="B188" s="52"/>
      <c r="C188" s="53"/>
      <c r="D188" s="52"/>
      <c r="E188" s="52"/>
      <c r="F188" s="52"/>
      <c r="G188" s="52"/>
      <c r="H188" s="52"/>
      <c r="I188" s="52"/>
      <c r="J188" s="52"/>
      <c r="K188" s="52"/>
      <c r="L188" s="52"/>
      <c r="M188" s="52"/>
      <c r="N188" s="52"/>
      <c r="O188" s="52"/>
      <c r="P188" s="52"/>
      <c r="Q188" s="52"/>
      <c r="R188" s="52"/>
      <c r="S188" s="52"/>
      <c r="T188" s="52"/>
      <c r="U188" s="52"/>
      <c r="V188" s="52"/>
      <c r="W188" s="45"/>
    </row>
    <row r="189" spans="2:23" s="7" customFormat="1" x14ac:dyDescent="0.25">
      <c r="B189" s="52"/>
      <c r="C189" s="53"/>
      <c r="D189" s="52"/>
      <c r="E189" s="52"/>
      <c r="F189" s="52"/>
      <c r="G189" s="52"/>
      <c r="H189" s="52"/>
      <c r="I189" s="52"/>
      <c r="J189" s="52"/>
      <c r="K189" s="52"/>
      <c r="L189" s="52"/>
      <c r="M189" s="52"/>
      <c r="N189" s="52"/>
      <c r="O189" s="52"/>
      <c r="P189" s="52"/>
      <c r="Q189" s="52"/>
      <c r="R189" s="52"/>
      <c r="S189" s="52"/>
      <c r="T189" s="52"/>
      <c r="U189" s="52"/>
      <c r="V189" s="52"/>
      <c r="W189" s="45"/>
    </row>
    <row r="190" spans="2:23" s="7" customFormat="1" x14ac:dyDescent="0.25">
      <c r="B190" s="52"/>
      <c r="C190" s="53"/>
      <c r="D190" s="52"/>
      <c r="E190" s="52"/>
      <c r="F190" s="52"/>
      <c r="G190" s="52"/>
      <c r="H190" s="52"/>
      <c r="I190" s="52"/>
      <c r="J190" s="52"/>
      <c r="K190" s="52"/>
      <c r="L190" s="52"/>
      <c r="M190" s="52"/>
      <c r="N190" s="52"/>
      <c r="O190" s="52"/>
      <c r="P190" s="52"/>
      <c r="Q190" s="52"/>
      <c r="R190" s="52"/>
      <c r="S190" s="52"/>
      <c r="T190" s="52"/>
      <c r="U190" s="52"/>
      <c r="V190" s="52"/>
      <c r="W190" s="45"/>
    </row>
    <row r="191" spans="2:23" s="7" customFormat="1" x14ac:dyDescent="0.25">
      <c r="B191" s="52"/>
      <c r="C191" s="53"/>
      <c r="D191" s="52"/>
      <c r="E191" s="52"/>
      <c r="F191" s="52"/>
      <c r="G191" s="52"/>
      <c r="H191" s="52"/>
      <c r="I191" s="52"/>
      <c r="J191" s="52"/>
      <c r="K191" s="52"/>
      <c r="L191" s="52"/>
      <c r="M191" s="52"/>
      <c r="N191" s="52"/>
      <c r="O191" s="52"/>
      <c r="P191" s="52"/>
      <c r="Q191" s="52"/>
      <c r="R191" s="52"/>
      <c r="S191" s="52"/>
      <c r="T191" s="52"/>
      <c r="U191" s="52"/>
      <c r="V191" s="52"/>
      <c r="W191" s="45"/>
    </row>
    <row r="192" spans="2:23" s="7" customFormat="1" x14ac:dyDescent="0.25">
      <c r="B192" s="52"/>
      <c r="C192" s="53"/>
      <c r="D192" s="52"/>
      <c r="E192" s="52"/>
      <c r="F192" s="52"/>
      <c r="G192" s="52"/>
      <c r="H192" s="52"/>
      <c r="I192" s="52"/>
      <c r="J192" s="52"/>
      <c r="K192" s="52"/>
      <c r="L192" s="52"/>
      <c r="M192" s="52"/>
      <c r="N192" s="52"/>
      <c r="O192" s="52"/>
      <c r="P192" s="52"/>
      <c r="Q192" s="52"/>
      <c r="R192" s="52"/>
      <c r="S192" s="52"/>
      <c r="T192" s="52"/>
      <c r="U192" s="52"/>
      <c r="V192" s="52"/>
      <c r="W192" s="45"/>
    </row>
    <row r="193" spans="2:23" s="7" customFormat="1" x14ac:dyDescent="0.25">
      <c r="B193" s="52"/>
      <c r="C193" s="53"/>
      <c r="D193" s="52"/>
      <c r="E193" s="52"/>
      <c r="F193" s="52"/>
      <c r="G193" s="52"/>
      <c r="H193" s="52"/>
      <c r="I193" s="52"/>
      <c r="J193" s="52"/>
      <c r="K193" s="52"/>
      <c r="L193" s="52"/>
      <c r="M193" s="52"/>
      <c r="N193" s="52"/>
      <c r="O193" s="52"/>
      <c r="P193" s="52"/>
      <c r="Q193" s="52"/>
      <c r="R193" s="52"/>
      <c r="S193" s="52"/>
      <c r="T193" s="52"/>
      <c r="U193" s="52"/>
      <c r="V193" s="52"/>
      <c r="W193" s="45"/>
    </row>
    <row r="194" spans="2:23" s="7" customFormat="1" x14ac:dyDescent="0.25">
      <c r="B194" s="52"/>
      <c r="C194" s="53"/>
      <c r="D194" s="52"/>
      <c r="E194" s="52"/>
      <c r="F194" s="52"/>
      <c r="G194" s="52"/>
      <c r="H194" s="52"/>
      <c r="I194" s="52"/>
      <c r="J194" s="52"/>
      <c r="K194" s="52"/>
      <c r="L194" s="52"/>
      <c r="M194" s="52"/>
      <c r="N194" s="52"/>
      <c r="O194" s="52"/>
      <c r="P194" s="52"/>
      <c r="Q194" s="52"/>
      <c r="R194" s="52"/>
      <c r="S194" s="52"/>
      <c r="T194" s="52"/>
      <c r="U194" s="52"/>
      <c r="V194" s="52"/>
      <c r="W194" s="45"/>
    </row>
    <row r="195" spans="2:23" s="7" customFormat="1" x14ac:dyDescent="0.25">
      <c r="B195" s="52"/>
      <c r="C195" s="53"/>
      <c r="D195" s="52"/>
      <c r="E195" s="52"/>
      <c r="F195" s="52"/>
      <c r="G195" s="52"/>
      <c r="H195" s="52"/>
      <c r="I195" s="52"/>
      <c r="J195" s="52"/>
      <c r="K195" s="52"/>
      <c r="L195" s="52"/>
      <c r="M195" s="52"/>
      <c r="N195" s="52"/>
      <c r="O195" s="52"/>
      <c r="P195" s="52"/>
      <c r="Q195" s="52"/>
      <c r="R195" s="52"/>
      <c r="S195" s="52"/>
      <c r="T195" s="52"/>
      <c r="U195" s="52"/>
      <c r="V195" s="52"/>
      <c r="W195" s="45"/>
    </row>
    <row r="196" spans="2:23" s="7" customFormat="1" x14ac:dyDescent="0.25">
      <c r="B196" s="52"/>
      <c r="C196" s="53"/>
      <c r="D196" s="52"/>
      <c r="E196" s="52"/>
      <c r="F196" s="52"/>
      <c r="G196" s="52"/>
      <c r="H196" s="52"/>
      <c r="I196" s="52"/>
      <c r="J196" s="52"/>
      <c r="K196" s="52"/>
      <c r="L196" s="52"/>
      <c r="M196" s="52"/>
      <c r="N196" s="52"/>
      <c r="O196" s="52"/>
      <c r="P196" s="52"/>
      <c r="Q196" s="52"/>
      <c r="R196" s="52"/>
      <c r="S196" s="52"/>
      <c r="T196" s="52"/>
      <c r="U196" s="52"/>
      <c r="V196" s="52"/>
      <c r="W196" s="45"/>
    </row>
    <row r="197" spans="2:23" s="7" customFormat="1" x14ac:dyDescent="0.25">
      <c r="B197" s="52"/>
      <c r="C197" s="53"/>
      <c r="D197" s="52"/>
      <c r="E197" s="52"/>
      <c r="F197" s="52"/>
      <c r="G197" s="52"/>
      <c r="H197" s="52"/>
      <c r="I197" s="52"/>
      <c r="J197" s="52"/>
      <c r="K197" s="52"/>
      <c r="L197" s="52"/>
      <c r="M197" s="52"/>
      <c r="N197" s="52"/>
      <c r="O197" s="52"/>
      <c r="P197" s="52"/>
      <c r="Q197" s="52"/>
      <c r="R197" s="52"/>
      <c r="S197" s="52"/>
      <c r="T197" s="52"/>
      <c r="U197" s="52"/>
      <c r="V197" s="52"/>
      <c r="W197" s="45"/>
    </row>
    <row r="198" spans="2:23" s="7" customFormat="1" x14ac:dyDescent="0.25">
      <c r="B198" s="52"/>
      <c r="C198" s="53"/>
      <c r="D198" s="52"/>
      <c r="E198" s="52"/>
      <c r="F198" s="52"/>
      <c r="G198" s="52"/>
      <c r="H198" s="52"/>
      <c r="I198" s="52"/>
      <c r="J198" s="52"/>
      <c r="K198" s="52"/>
      <c r="L198" s="52"/>
      <c r="M198" s="52"/>
      <c r="N198" s="52"/>
      <c r="O198" s="52"/>
      <c r="P198" s="52"/>
      <c r="Q198" s="52"/>
      <c r="R198" s="52"/>
      <c r="S198" s="52"/>
      <c r="T198" s="52"/>
      <c r="U198" s="52"/>
      <c r="V198" s="52"/>
      <c r="W198" s="45"/>
    </row>
    <row r="199" spans="2:23" s="7" customFormat="1" x14ac:dyDescent="0.25">
      <c r="B199" s="52"/>
      <c r="C199" s="53"/>
      <c r="D199" s="52"/>
      <c r="E199" s="52"/>
      <c r="F199" s="52"/>
      <c r="G199" s="52"/>
      <c r="H199" s="52"/>
      <c r="I199" s="52"/>
      <c r="J199" s="52"/>
      <c r="K199" s="52"/>
      <c r="L199" s="52"/>
      <c r="M199" s="52"/>
      <c r="N199" s="52"/>
      <c r="O199" s="52"/>
      <c r="P199" s="52"/>
      <c r="Q199" s="52"/>
      <c r="R199" s="52"/>
      <c r="S199" s="52"/>
      <c r="T199" s="52"/>
      <c r="U199" s="52"/>
      <c r="V199" s="52"/>
      <c r="W199" s="45"/>
    </row>
    <row r="200" spans="2:23" s="7" customFormat="1" x14ac:dyDescent="0.25">
      <c r="B200" s="52"/>
      <c r="C200" s="53"/>
      <c r="D200" s="52"/>
      <c r="E200" s="52"/>
      <c r="F200" s="52"/>
      <c r="G200" s="52"/>
      <c r="H200" s="52"/>
      <c r="I200" s="52"/>
      <c r="J200" s="52"/>
      <c r="K200" s="52"/>
      <c r="L200" s="52"/>
      <c r="M200" s="52"/>
      <c r="N200" s="52"/>
      <c r="O200" s="52"/>
      <c r="P200" s="52"/>
      <c r="Q200" s="52"/>
      <c r="R200" s="52"/>
      <c r="S200" s="52"/>
      <c r="T200" s="52"/>
      <c r="U200" s="52"/>
      <c r="V200" s="52"/>
      <c r="W200" s="45"/>
    </row>
    <row r="201" spans="2:23" s="7" customFormat="1" x14ac:dyDescent="0.25">
      <c r="B201" s="52"/>
      <c r="C201" s="53"/>
      <c r="D201" s="52"/>
      <c r="E201" s="52"/>
      <c r="F201" s="52"/>
      <c r="G201" s="52"/>
      <c r="H201" s="52"/>
      <c r="I201" s="52"/>
      <c r="J201" s="52"/>
      <c r="K201" s="52"/>
      <c r="L201" s="52"/>
      <c r="M201" s="52"/>
      <c r="N201" s="52"/>
      <c r="O201" s="52"/>
      <c r="P201" s="52"/>
      <c r="Q201" s="52"/>
      <c r="R201" s="52"/>
      <c r="S201" s="52"/>
      <c r="T201" s="52"/>
      <c r="U201" s="52"/>
      <c r="V201" s="52"/>
      <c r="W201" s="45"/>
    </row>
    <row r="202" spans="2:23" s="7" customFormat="1" x14ac:dyDescent="0.25">
      <c r="B202" s="52"/>
      <c r="C202" s="53"/>
      <c r="D202" s="52"/>
      <c r="E202" s="52"/>
      <c r="F202" s="52"/>
      <c r="G202" s="52"/>
      <c r="H202" s="52"/>
      <c r="I202" s="52"/>
      <c r="J202" s="52"/>
      <c r="K202" s="52"/>
      <c r="L202" s="52"/>
      <c r="M202" s="52"/>
      <c r="N202" s="52"/>
      <c r="O202" s="52"/>
      <c r="P202" s="52"/>
      <c r="Q202" s="52"/>
      <c r="R202" s="52"/>
      <c r="S202" s="52"/>
      <c r="T202" s="52"/>
      <c r="U202" s="52"/>
      <c r="V202" s="52"/>
      <c r="W202" s="45"/>
    </row>
    <row r="203" spans="2:23" s="7" customFormat="1" x14ac:dyDescent="0.25">
      <c r="B203" s="52"/>
      <c r="C203" s="53"/>
      <c r="D203" s="52"/>
      <c r="E203" s="52"/>
      <c r="F203" s="52"/>
      <c r="G203" s="52"/>
      <c r="H203" s="52"/>
      <c r="I203" s="52"/>
      <c r="J203" s="52"/>
      <c r="K203" s="52"/>
      <c r="L203" s="52"/>
      <c r="M203" s="52"/>
      <c r="N203" s="52"/>
      <c r="O203" s="52"/>
      <c r="P203" s="52"/>
      <c r="Q203" s="52"/>
      <c r="R203" s="52"/>
      <c r="S203" s="52"/>
      <c r="T203" s="52"/>
      <c r="U203" s="52"/>
      <c r="V203" s="52"/>
      <c r="W203" s="45"/>
    </row>
    <row r="204" spans="2:23" s="7" customFormat="1" x14ac:dyDescent="0.25">
      <c r="B204" s="52"/>
      <c r="C204" s="53"/>
      <c r="D204" s="52"/>
      <c r="E204" s="52"/>
      <c r="F204" s="52"/>
      <c r="G204" s="52"/>
      <c r="H204" s="52"/>
      <c r="I204" s="52"/>
      <c r="J204" s="52"/>
      <c r="K204" s="52"/>
      <c r="L204" s="52"/>
      <c r="M204" s="52"/>
      <c r="N204" s="52"/>
      <c r="O204" s="52"/>
      <c r="P204" s="52"/>
      <c r="Q204" s="52"/>
      <c r="R204" s="52"/>
      <c r="S204" s="52"/>
      <c r="T204" s="52"/>
      <c r="U204" s="52"/>
      <c r="V204" s="52"/>
      <c r="W204" s="45"/>
    </row>
    <row r="205" spans="2:23" s="7" customFormat="1" x14ac:dyDescent="0.25">
      <c r="B205" s="52"/>
      <c r="C205" s="53"/>
      <c r="D205" s="52"/>
      <c r="E205" s="52"/>
      <c r="F205" s="52"/>
      <c r="G205" s="52"/>
      <c r="H205" s="52"/>
      <c r="I205" s="52"/>
      <c r="J205" s="52"/>
      <c r="K205" s="52"/>
      <c r="L205" s="52"/>
      <c r="M205" s="52"/>
      <c r="N205" s="52"/>
      <c r="O205" s="52"/>
      <c r="P205" s="52"/>
      <c r="Q205" s="52"/>
      <c r="R205" s="52"/>
      <c r="S205" s="52"/>
      <c r="T205" s="52"/>
      <c r="U205" s="52"/>
      <c r="V205" s="52"/>
      <c r="W205" s="45"/>
    </row>
    <row r="206" spans="2:23" s="7" customFormat="1" x14ac:dyDescent="0.25">
      <c r="B206" s="52"/>
      <c r="C206" s="53"/>
      <c r="D206" s="52"/>
      <c r="E206" s="52"/>
      <c r="F206" s="52"/>
      <c r="G206" s="52"/>
      <c r="H206" s="52"/>
      <c r="I206" s="52"/>
      <c r="J206" s="52"/>
      <c r="K206" s="52"/>
      <c r="L206" s="52"/>
      <c r="M206" s="52"/>
      <c r="N206" s="52"/>
      <c r="O206" s="52"/>
      <c r="P206" s="52"/>
      <c r="Q206" s="52"/>
      <c r="R206" s="52"/>
      <c r="S206" s="52"/>
      <c r="T206" s="52"/>
      <c r="U206" s="52"/>
      <c r="V206" s="52"/>
      <c r="W206" s="45"/>
    </row>
    <row r="207" spans="2:23" s="7" customFormat="1" x14ac:dyDescent="0.25">
      <c r="B207" s="52"/>
      <c r="C207" s="53"/>
      <c r="D207" s="52"/>
      <c r="E207" s="52"/>
      <c r="F207" s="52"/>
      <c r="G207" s="52"/>
      <c r="H207" s="52"/>
      <c r="I207" s="52"/>
      <c r="J207" s="52"/>
      <c r="K207" s="52"/>
      <c r="L207" s="52"/>
      <c r="M207" s="52"/>
      <c r="N207" s="52"/>
      <c r="O207" s="52"/>
      <c r="P207" s="52"/>
      <c r="Q207" s="52"/>
      <c r="R207" s="52"/>
      <c r="S207" s="52"/>
      <c r="T207" s="52"/>
      <c r="U207" s="52"/>
      <c r="V207" s="52"/>
      <c r="W207" s="45"/>
    </row>
    <row r="208" spans="2:23" s="7" customFormat="1" x14ac:dyDescent="0.25">
      <c r="B208" s="52"/>
      <c r="C208" s="53"/>
      <c r="D208" s="52"/>
      <c r="E208" s="52"/>
      <c r="F208" s="52"/>
      <c r="G208" s="52"/>
      <c r="H208" s="52"/>
      <c r="I208" s="52"/>
      <c r="J208" s="52"/>
      <c r="K208" s="52"/>
      <c r="L208" s="52"/>
      <c r="M208" s="52"/>
      <c r="N208" s="52"/>
      <c r="O208" s="52"/>
      <c r="P208" s="52"/>
      <c r="Q208" s="52"/>
      <c r="R208" s="52"/>
      <c r="S208" s="52"/>
      <c r="T208" s="52"/>
      <c r="U208" s="52"/>
      <c r="V208" s="52"/>
      <c r="W208" s="45"/>
    </row>
    <row r="209" spans="2:23" s="7" customFormat="1" x14ac:dyDescent="0.25">
      <c r="B209" s="52"/>
      <c r="C209" s="53"/>
      <c r="D209" s="52"/>
      <c r="E209" s="52"/>
      <c r="F209" s="52"/>
      <c r="G209" s="52"/>
      <c r="H209" s="52"/>
      <c r="I209" s="52"/>
      <c r="J209" s="52"/>
      <c r="K209" s="52"/>
      <c r="L209" s="52"/>
      <c r="M209" s="52"/>
      <c r="N209" s="52"/>
      <c r="O209" s="52"/>
      <c r="P209" s="52"/>
      <c r="Q209" s="52"/>
      <c r="R209" s="52"/>
      <c r="S209" s="52"/>
      <c r="T209" s="52"/>
      <c r="U209" s="52"/>
      <c r="V209" s="52"/>
      <c r="W209" s="45"/>
    </row>
    <row r="210" spans="2:23" s="7" customFormat="1" x14ac:dyDescent="0.25">
      <c r="B210" s="52"/>
      <c r="C210" s="53"/>
      <c r="D210" s="52"/>
      <c r="E210" s="52"/>
      <c r="F210" s="52"/>
      <c r="G210" s="52"/>
      <c r="H210" s="52"/>
      <c r="I210" s="52"/>
      <c r="J210" s="52"/>
      <c r="K210" s="52"/>
      <c r="L210" s="52"/>
      <c r="M210" s="52"/>
      <c r="N210" s="52"/>
      <c r="O210" s="52"/>
      <c r="P210" s="52"/>
      <c r="Q210" s="52"/>
      <c r="R210" s="52"/>
      <c r="S210" s="52"/>
      <c r="T210" s="52"/>
      <c r="U210" s="52"/>
      <c r="V210" s="52"/>
      <c r="W210" s="45"/>
    </row>
    <row r="211" spans="2:23" s="7" customFormat="1" x14ac:dyDescent="0.25">
      <c r="B211" s="52"/>
      <c r="C211" s="53"/>
      <c r="D211" s="52"/>
      <c r="E211" s="52"/>
      <c r="F211" s="52"/>
      <c r="G211" s="52"/>
      <c r="H211" s="52"/>
      <c r="I211" s="52"/>
      <c r="J211" s="52"/>
      <c r="K211" s="52"/>
      <c r="L211" s="52"/>
      <c r="M211" s="52"/>
      <c r="N211" s="52"/>
      <c r="O211" s="52"/>
      <c r="P211" s="52"/>
      <c r="Q211" s="52"/>
      <c r="R211" s="52"/>
      <c r="S211" s="52"/>
      <c r="T211" s="52"/>
      <c r="U211" s="52"/>
      <c r="V211" s="52"/>
      <c r="W211" s="45"/>
    </row>
    <row r="212" spans="2:23" s="7" customFormat="1" x14ac:dyDescent="0.25">
      <c r="B212" s="52"/>
      <c r="C212" s="53"/>
      <c r="D212" s="52"/>
      <c r="E212" s="52"/>
      <c r="F212" s="52"/>
      <c r="G212" s="52"/>
      <c r="H212" s="52"/>
      <c r="I212" s="52"/>
      <c r="J212" s="52"/>
      <c r="K212" s="52"/>
      <c r="L212" s="52"/>
      <c r="M212" s="52"/>
      <c r="N212" s="52"/>
      <c r="O212" s="52"/>
      <c r="P212" s="52"/>
      <c r="Q212" s="52"/>
      <c r="R212" s="52"/>
      <c r="S212" s="52"/>
      <c r="T212" s="52"/>
      <c r="U212" s="52"/>
      <c r="V212" s="52"/>
      <c r="W212" s="45"/>
    </row>
    <row r="213" spans="2:23" s="7" customFormat="1" x14ac:dyDescent="0.25">
      <c r="B213" s="52"/>
      <c r="C213" s="53"/>
      <c r="D213" s="52"/>
      <c r="E213" s="52"/>
      <c r="F213" s="52"/>
      <c r="G213" s="52"/>
      <c r="H213" s="52"/>
      <c r="I213" s="52"/>
      <c r="J213" s="52"/>
      <c r="K213" s="52"/>
      <c r="L213" s="52"/>
      <c r="M213" s="52"/>
      <c r="N213" s="52"/>
      <c r="O213" s="52"/>
      <c r="P213" s="52"/>
      <c r="Q213" s="52"/>
      <c r="R213" s="52"/>
      <c r="S213" s="52"/>
      <c r="T213" s="52"/>
      <c r="U213" s="52"/>
      <c r="V213" s="52"/>
      <c r="W213" s="45"/>
    </row>
    <row r="214" spans="2:23" s="7" customFormat="1" x14ac:dyDescent="0.25">
      <c r="B214" s="52"/>
      <c r="C214" s="53"/>
      <c r="D214" s="52"/>
      <c r="E214" s="52"/>
      <c r="F214" s="52"/>
      <c r="G214" s="52"/>
      <c r="H214" s="52"/>
      <c r="I214" s="52"/>
      <c r="J214" s="52"/>
      <c r="K214" s="52"/>
      <c r="L214" s="52"/>
      <c r="M214" s="52"/>
      <c r="N214" s="52"/>
      <c r="O214" s="52"/>
      <c r="P214" s="52"/>
      <c r="Q214" s="52"/>
      <c r="R214" s="52"/>
      <c r="S214" s="52"/>
      <c r="T214" s="52"/>
      <c r="U214" s="52"/>
      <c r="V214" s="52"/>
      <c r="W214" s="45"/>
    </row>
    <row r="215" spans="2:23" s="7" customFormat="1" x14ac:dyDescent="0.25">
      <c r="B215" s="52"/>
      <c r="C215" s="53"/>
      <c r="D215" s="52"/>
      <c r="E215" s="52"/>
      <c r="F215" s="52"/>
      <c r="G215" s="52"/>
      <c r="H215" s="52"/>
      <c r="I215" s="52"/>
      <c r="J215" s="52"/>
      <c r="K215" s="52"/>
      <c r="L215" s="52"/>
      <c r="M215" s="52"/>
      <c r="N215" s="52"/>
      <c r="O215" s="52"/>
      <c r="P215" s="52"/>
      <c r="Q215" s="52"/>
      <c r="R215" s="52"/>
      <c r="S215" s="52"/>
      <c r="T215" s="52"/>
      <c r="U215" s="52"/>
      <c r="V215" s="52"/>
      <c r="W215" s="45"/>
    </row>
    <row r="216" spans="2:23" s="7" customFormat="1" x14ac:dyDescent="0.25">
      <c r="B216" s="52"/>
      <c r="C216" s="53"/>
      <c r="D216" s="52"/>
      <c r="E216" s="52"/>
      <c r="F216" s="52"/>
      <c r="G216" s="52"/>
      <c r="H216" s="52"/>
      <c r="I216" s="52"/>
      <c r="J216" s="52"/>
      <c r="K216" s="52"/>
      <c r="L216" s="52"/>
      <c r="M216" s="52"/>
      <c r="N216" s="52"/>
      <c r="O216" s="52"/>
      <c r="P216" s="52"/>
      <c r="Q216" s="52"/>
      <c r="R216" s="52"/>
      <c r="S216" s="52"/>
      <c r="T216" s="52"/>
      <c r="U216" s="52"/>
      <c r="V216" s="52"/>
      <c r="W216" s="45"/>
    </row>
    <row r="217" spans="2:23" s="7" customFormat="1" x14ac:dyDescent="0.25">
      <c r="B217" s="35"/>
      <c r="C217" s="53"/>
      <c r="D217" s="52"/>
      <c r="E217" s="52"/>
      <c r="F217" s="52"/>
      <c r="G217" s="52"/>
      <c r="H217" s="52"/>
      <c r="I217" s="52"/>
      <c r="J217" s="52"/>
      <c r="K217" s="52"/>
      <c r="L217" s="52"/>
      <c r="M217" s="52"/>
      <c r="N217" s="52"/>
      <c r="O217" s="52"/>
      <c r="P217" s="52"/>
      <c r="Q217" s="52"/>
      <c r="R217" s="52"/>
      <c r="S217" s="52"/>
      <c r="T217" s="52"/>
      <c r="U217" s="52"/>
      <c r="V217" s="52"/>
      <c r="W217" s="45"/>
    </row>
    <row r="218" spans="2:23" s="7" customFormat="1" x14ac:dyDescent="0.25">
      <c r="B218" s="52"/>
      <c r="C218" s="53"/>
      <c r="D218" s="52"/>
      <c r="E218" s="52"/>
      <c r="F218" s="52"/>
      <c r="G218" s="52"/>
      <c r="H218" s="52"/>
      <c r="I218" s="52"/>
      <c r="J218" s="52"/>
      <c r="K218" s="52"/>
      <c r="L218" s="52"/>
      <c r="M218" s="52"/>
      <c r="N218" s="52"/>
      <c r="O218" s="52"/>
      <c r="P218" s="52"/>
      <c r="Q218" s="52"/>
      <c r="R218" s="52"/>
      <c r="S218" s="52"/>
      <c r="T218" s="52"/>
      <c r="U218" s="52"/>
      <c r="V218" s="52"/>
      <c r="W218" s="45"/>
    </row>
    <row r="219" spans="2:23" s="7" customFormat="1" x14ac:dyDescent="0.25">
      <c r="B219" s="52"/>
      <c r="C219" s="53"/>
      <c r="D219" s="52"/>
      <c r="E219" s="52"/>
      <c r="F219" s="52"/>
      <c r="G219" s="52"/>
      <c r="H219" s="52"/>
      <c r="I219" s="52"/>
      <c r="J219" s="52"/>
      <c r="K219" s="52"/>
      <c r="L219" s="52"/>
      <c r="M219" s="52"/>
      <c r="N219" s="52"/>
      <c r="O219" s="52"/>
      <c r="P219" s="52"/>
      <c r="Q219" s="52"/>
      <c r="R219" s="52"/>
      <c r="S219" s="52"/>
      <c r="T219" s="52"/>
      <c r="U219" s="52"/>
      <c r="V219" s="52"/>
      <c r="W219" s="45"/>
    </row>
    <row r="220" spans="2:23" s="7" customFormat="1" x14ac:dyDescent="0.25">
      <c r="B220" s="52"/>
      <c r="C220" s="53"/>
      <c r="D220" s="52"/>
      <c r="E220" s="52"/>
      <c r="F220" s="52"/>
      <c r="G220" s="52"/>
      <c r="H220" s="52"/>
      <c r="I220" s="52"/>
      <c r="J220" s="52"/>
      <c r="K220" s="52"/>
      <c r="L220" s="52"/>
      <c r="M220" s="52"/>
      <c r="N220" s="52"/>
      <c r="O220" s="52"/>
      <c r="P220" s="52"/>
      <c r="Q220" s="52"/>
      <c r="R220" s="52"/>
      <c r="S220" s="52"/>
      <c r="T220" s="52"/>
      <c r="U220" s="52"/>
      <c r="V220" s="52"/>
      <c r="W220" s="45"/>
    </row>
    <row r="221" spans="2:23" s="7" customFormat="1" x14ac:dyDescent="0.25">
      <c r="B221" s="52"/>
      <c r="C221" s="53"/>
      <c r="D221" s="52"/>
      <c r="E221" s="52"/>
      <c r="F221" s="52"/>
      <c r="G221" s="52"/>
      <c r="H221" s="52"/>
      <c r="I221" s="52"/>
      <c r="J221" s="52"/>
      <c r="K221" s="52"/>
      <c r="L221" s="52"/>
      <c r="M221" s="52"/>
      <c r="N221" s="52"/>
      <c r="O221" s="52"/>
      <c r="P221" s="52"/>
      <c r="Q221" s="52"/>
      <c r="R221" s="52"/>
      <c r="S221" s="52"/>
      <c r="T221" s="52"/>
      <c r="U221" s="52"/>
      <c r="V221" s="52"/>
      <c r="W221" s="45"/>
    </row>
    <row r="222" spans="2:23" s="7" customFormat="1" x14ac:dyDescent="0.25">
      <c r="B222" s="52"/>
      <c r="C222" s="53"/>
      <c r="D222" s="52"/>
      <c r="E222" s="52"/>
      <c r="F222" s="52"/>
      <c r="G222" s="52"/>
      <c r="H222" s="52"/>
      <c r="I222" s="52"/>
      <c r="J222" s="52"/>
      <c r="K222" s="52"/>
      <c r="L222" s="52"/>
      <c r="M222" s="52"/>
      <c r="N222" s="52"/>
      <c r="O222" s="52"/>
      <c r="P222" s="52"/>
      <c r="Q222" s="52"/>
      <c r="R222" s="52"/>
      <c r="S222" s="52"/>
      <c r="T222" s="52"/>
      <c r="U222" s="52"/>
      <c r="V222" s="52"/>
      <c r="W222" s="45"/>
    </row>
    <row r="223" spans="2:23" s="7" customFormat="1" x14ac:dyDescent="0.25">
      <c r="B223" s="52"/>
      <c r="C223" s="53"/>
      <c r="D223" s="52"/>
      <c r="E223" s="52"/>
      <c r="F223" s="52"/>
      <c r="G223" s="52"/>
      <c r="H223" s="52"/>
      <c r="I223" s="52"/>
      <c r="J223" s="52"/>
      <c r="K223" s="52"/>
      <c r="L223" s="52"/>
      <c r="M223" s="52"/>
      <c r="N223" s="52"/>
      <c r="O223" s="52"/>
      <c r="P223" s="52"/>
      <c r="Q223" s="52"/>
      <c r="R223" s="52"/>
      <c r="S223" s="52"/>
      <c r="T223" s="52"/>
      <c r="U223" s="52"/>
      <c r="V223" s="52"/>
      <c r="W223" s="45"/>
    </row>
    <row r="224" spans="2:23" s="7" customFormat="1" x14ac:dyDescent="0.25">
      <c r="B224" s="52"/>
      <c r="C224" s="53"/>
      <c r="D224" s="52"/>
      <c r="E224" s="52"/>
      <c r="F224" s="52"/>
      <c r="G224" s="52"/>
      <c r="H224" s="52"/>
      <c r="I224" s="52"/>
      <c r="J224" s="52"/>
      <c r="K224" s="52"/>
      <c r="L224" s="52"/>
      <c r="M224" s="52"/>
      <c r="N224" s="52"/>
      <c r="O224" s="52"/>
      <c r="P224" s="52"/>
      <c r="Q224" s="52"/>
      <c r="R224" s="52"/>
      <c r="S224" s="52"/>
      <c r="T224" s="52"/>
      <c r="U224" s="52"/>
      <c r="V224" s="52"/>
      <c r="W224" s="45"/>
    </row>
    <row r="225" spans="2:23" s="7" customFormat="1" x14ac:dyDescent="0.25">
      <c r="B225" s="52"/>
      <c r="C225" s="53"/>
      <c r="D225" s="52"/>
      <c r="E225" s="52"/>
      <c r="F225" s="52"/>
      <c r="G225" s="52"/>
      <c r="H225" s="52"/>
      <c r="I225" s="52"/>
      <c r="J225" s="52"/>
      <c r="K225" s="52"/>
      <c r="L225" s="52"/>
      <c r="M225" s="52"/>
      <c r="N225" s="52"/>
      <c r="O225" s="52"/>
      <c r="P225" s="52"/>
      <c r="Q225" s="52"/>
      <c r="R225" s="52"/>
      <c r="S225" s="52"/>
      <c r="T225" s="52"/>
      <c r="U225" s="52"/>
      <c r="V225" s="52"/>
      <c r="W225" s="45"/>
    </row>
    <row r="226" spans="2:23" s="7" customFormat="1" x14ac:dyDescent="0.25">
      <c r="B226" s="52"/>
      <c r="C226" s="53"/>
      <c r="D226" s="52"/>
      <c r="E226" s="52"/>
      <c r="F226" s="52"/>
      <c r="G226" s="52"/>
      <c r="H226" s="52"/>
      <c r="I226" s="52"/>
      <c r="J226" s="52"/>
      <c r="K226" s="52"/>
      <c r="L226" s="52"/>
      <c r="M226" s="52"/>
      <c r="N226" s="52"/>
      <c r="O226" s="52"/>
      <c r="P226" s="52"/>
      <c r="Q226" s="52"/>
      <c r="R226" s="52"/>
      <c r="S226" s="52"/>
      <c r="T226" s="52"/>
      <c r="U226" s="52"/>
      <c r="V226" s="52"/>
      <c r="W226" s="45"/>
    </row>
    <row r="227" spans="2:23" s="7" customFormat="1" x14ac:dyDescent="0.25"/>
    <row r="228" spans="2:23" s="7" customFormat="1" x14ac:dyDescent="0.25">
      <c r="B228" s="54"/>
    </row>
    <row r="229" spans="2:23" s="7" customFormat="1" x14ac:dyDescent="0.25">
      <c r="B229" s="55"/>
      <c r="C229" s="56"/>
      <c r="D229" s="56"/>
      <c r="E229" s="56"/>
      <c r="F229" s="56"/>
      <c r="G229" s="56"/>
      <c r="H229" s="56"/>
      <c r="I229" s="56"/>
      <c r="J229" s="56"/>
      <c r="K229" s="56"/>
      <c r="L229" s="56"/>
      <c r="M229" s="56"/>
      <c r="N229" s="56"/>
      <c r="O229" s="56"/>
      <c r="P229" s="56"/>
      <c r="Q229" s="56"/>
      <c r="R229" s="56"/>
      <c r="S229" s="56"/>
      <c r="T229" s="56"/>
      <c r="U229" s="56"/>
      <c r="V229" s="56"/>
    </row>
    <row r="230" spans="2:23" s="7" customFormat="1" x14ac:dyDescent="0.25">
      <c r="B230" s="58"/>
      <c r="C230" s="53"/>
      <c r="D230" s="53"/>
      <c r="E230" s="53"/>
      <c r="F230" s="53"/>
      <c r="G230" s="53"/>
      <c r="H230" s="53"/>
      <c r="I230" s="53"/>
      <c r="J230" s="53"/>
      <c r="K230" s="53"/>
      <c r="L230" s="53"/>
      <c r="M230" s="53"/>
      <c r="N230" s="53"/>
      <c r="O230" s="53"/>
      <c r="P230" s="53"/>
      <c r="Q230" s="53"/>
      <c r="R230" s="53"/>
      <c r="S230" s="53"/>
      <c r="T230" s="53"/>
      <c r="U230" s="53"/>
      <c r="V230" s="53"/>
    </row>
    <row r="231" spans="2:23" s="7" customFormat="1" x14ac:dyDescent="0.25">
      <c r="B231" s="58"/>
      <c r="C231" s="53"/>
      <c r="D231" s="53"/>
      <c r="E231" s="53"/>
      <c r="F231" s="53"/>
      <c r="G231" s="53"/>
      <c r="H231" s="53"/>
      <c r="I231" s="53"/>
      <c r="J231" s="53"/>
      <c r="K231" s="53"/>
      <c r="L231" s="53"/>
      <c r="M231" s="53"/>
      <c r="N231" s="53"/>
      <c r="O231" s="53"/>
      <c r="P231" s="53"/>
      <c r="Q231" s="53"/>
      <c r="R231" s="53"/>
      <c r="S231" s="53"/>
      <c r="T231" s="53"/>
      <c r="U231" s="53"/>
      <c r="V231" s="53"/>
    </row>
    <row r="232" spans="2:23" s="7" customFormat="1" x14ac:dyDescent="0.25">
      <c r="B232" s="58"/>
      <c r="C232" s="53"/>
      <c r="D232" s="53"/>
      <c r="E232" s="53"/>
      <c r="F232" s="53"/>
      <c r="G232" s="53"/>
      <c r="H232" s="53"/>
      <c r="I232" s="53"/>
      <c r="J232" s="53"/>
      <c r="K232" s="53"/>
      <c r="L232" s="53"/>
      <c r="M232" s="53"/>
      <c r="N232" s="53"/>
      <c r="O232" s="53"/>
      <c r="P232" s="53"/>
      <c r="Q232" s="53"/>
      <c r="R232" s="53"/>
      <c r="S232" s="53"/>
      <c r="T232" s="53"/>
      <c r="U232" s="53"/>
      <c r="V232" s="53"/>
    </row>
    <row r="233" spans="2:23" s="7" customFormat="1" x14ac:dyDescent="0.25">
      <c r="B233" s="58"/>
      <c r="C233" s="53"/>
      <c r="D233" s="53"/>
      <c r="E233" s="53"/>
      <c r="F233" s="53"/>
      <c r="G233" s="53"/>
      <c r="H233" s="53"/>
      <c r="I233" s="53"/>
      <c r="J233" s="53"/>
      <c r="K233" s="53"/>
      <c r="L233" s="53"/>
      <c r="M233" s="53"/>
      <c r="N233" s="53"/>
      <c r="O233" s="53"/>
      <c r="P233" s="53"/>
      <c r="Q233" s="53"/>
      <c r="R233" s="53"/>
      <c r="S233" s="53"/>
      <c r="T233" s="53"/>
      <c r="U233" s="53"/>
      <c r="V233" s="53"/>
    </row>
    <row r="234" spans="2:23" s="7" customFormat="1" x14ac:dyDescent="0.25">
      <c r="B234" s="58"/>
      <c r="C234" s="53"/>
      <c r="D234" s="53"/>
      <c r="E234" s="53"/>
      <c r="F234" s="53"/>
      <c r="G234" s="53"/>
      <c r="H234" s="53"/>
      <c r="I234" s="53"/>
      <c r="J234" s="53"/>
      <c r="K234" s="53"/>
      <c r="L234" s="53"/>
      <c r="M234" s="53"/>
      <c r="N234" s="53"/>
      <c r="O234" s="53"/>
      <c r="P234" s="53"/>
      <c r="Q234" s="53"/>
      <c r="R234" s="53"/>
      <c r="S234" s="53"/>
      <c r="T234" s="53"/>
      <c r="U234" s="53"/>
      <c r="V234" s="53"/>
    </row>
    <row r="235" spans="2:23" s="7" customFormat="1" x14ac:dyDescent="0.25">
      <c r="B235" s="58"/>
      <c r="C235" s="53"/>
      <c r="D235" s="53"/>
      <c r="E235" s="53"/>
      <c r="F235" s="53"/>
      <c r="G235" s="53"/>
      <c r="H235" s="53"/>
      <c r="I235" s="53"/>
      <c r="J235" s="53"/>
      <c r="K235" s="53"/>
      <c r="L235" s="53"/>
      <c r="M235" s="53"/>
      <c r="N235" s="53"/>
      <c r="O235" s="53"/>
      <c r="P235" s="53"/>
      <c r="Q235" s="53"/>
      <c r="R235" s="53"/>
      <c r="S235" s="53"/>
      <c r="T235" s="53"/>
      <c r="U235" s="53"/>
      <c r="V235" s="53"/>
    </row>
    <row r="236" spans="2:23" s="7" customFormat="1" x14ac:dyDescent="0.25">
      <c r="B236" s="58"/>
      <c r="C236" s="53"/>
      <c r="D236" s="53"/>
      <c r="E236" s="53"/>
      <c r="F236" s="53"/>
      <c r="G236" s="53"/>
      <c r="H236" s="53"/>
      <c r="I236" s="53"/>
      <c r="J236" s="53"/>
      <c r="K236" s="53"/>
      <c r="L236" s="53"/>
      <c r="M236" s="53"/>
      <c r="N236" s="53"/>
      <c r="O236" s="53"/>
      <c r="P236" s="53"/>
      <c r="Q236" s="53"/>
      <c r="R236" s="53"/>
      <c r="S236" s="53"/>
      <c r="T236" s="53"/>
      <c r="U236" s="53"/>
      <c r="V236" s="53"/>
    </row>
    <row r="237" spans="2:23" s="7" customFormat="1" x14ac:dyDescent="0.25">
      <c r="B237" s="58"/>
      <c r="C237" s="53"/>
      <c r="D237" s="53"/>
      <c r="E237" s="53"/>
      <c r="F237" s="53"/>
      <c r="G237" s="53"/>
      <c r="H237" s="53"/>
      <c r="I237" s="53"/>
      <c r="J237" s="53"/>
      <c r="K237" s="53"/>
      <c r="L237" s="53"/>
      <c r="M237" s="53"/>
      <c r="N237" s="53"/>
      <c r="O237" s="53"/>
      <c r="P237" s="53"/>
      <c r="Q237" s="53"/>
      <c r="R237" s="53"/>
      <c r="S237" s="53"/>
      <c r="T237" s="53"/>
      <c r="U237" s="53"/>
      <c r="V237" s="53"/>
    </row>
    <row r="238" spans="2:23" s="7" customFormat="1" x14ac:dyDescent="0.25">
      <c r="B238" s="58"/>
      <c r="C238" s="53"/>
      <c r="D238" s="53"/>
      <c r="E238" s="53"/>
      <c r="F238" s="53"/>
      <c r="G238" s="53"/>
      <c r="H238" s="53"/>
      <c r="I238" s="53"/>
      <c r="J238" s="53"/>
      <c r="K238" s="53"/>
      <c r="L238" s="53"/>
      <c r="M238" s="53"/>
      <c r="N238" s="53"/>
      <c r="O238" s="53"/>
      <c r="P238" s="53"/>
      <c r="Q238" s="53"/>
      <c r="R238" s="53"/>
      <c r="S238" s="53"/>
      <c r="T238" s="53"/>
      <c r="U238" s="53"/>
      <c r="V238" s="53"/>
    </row>
    <row r="239" spans="2:23" s="7" customFormat="1" x14ac:dyDescent="0.25">
      <c r="B239" s="58"/>
      <c r="C239" s="53"/>
      <c r="D239" s="53"/>
      <c r="E239" s="53"/>
      <c r="F239" s="53"/>
      <c r="G239" s="53"/>
      <c r="H239" s="53"/>
      <c r="I239" s="53"/>
      <c r="J239" s="53"/>
      <c r="K239" s="53"/>
      <c r="L239" s="53"/>
      <c r="M239" s="53"/>
      <c r="N239" s="53"/>
      <c r="O239" s="53"/>
      <c r="P239" s="53"/>
      <c r="Q239" s="53"/>
      <c r="R239" s="53"/>
      <c r="S239" s="53"/>
      <c r="T239" s="53"/>
      <c r="U239" s="53"/>
      <c r="V239" s="53"/>
    </row>
    <row r="240" spans="2:23" s="7" customFormat="1" x14ac:dyDescent="0.25">
      <c r="B240" s="58"/>
      <c r="C240" s="53"/>
      <c r="D240" s="53"/>
      <c r="E240" s="53"/>
      <c r="F240" s="53"/>
      <c r="G240" s="53"/>
      <c r="H240" s="53"/>
      <c r="I240" s="53"/>
      <c r="J240" s="53"/>
      <c r="K240" s="53"/>
      <c r="L240" s="53"/>
      <c r="M240" s="53"/>
      <c r="N240" s="53"/>
      <c r="O240" s="53"/>
      <c r="P240" s="53"/>
      <c r="Q240" s="53"/>
      <c r="R240" s="53"/>
      <c r="S240" s="53"/>
      <c r="T240" s="53"/>
      <c r="U240" s="53"/>
      <c r="V240" s="53"/>
    </row>
    <row r="241" spans="2:22" s="7" customFormat="1" x14ac:dyDescent="0.25">
      <c r="B241" s="58"/>
      <c r="C241" s="53"/>
      <c r="D241" s="53"/>
      <c r="E241" s="53"/>
      <c r="F241" s="53"/>
      <c r="G241" s="53"/>
      <c r="H241" s="53"/>
      <c r="I241" s="53"/>
      <c r="J241" s="53"/>
      <c r="K241" s="53"/>
      <c r="L241" s="53"/>
      <c r="M241" s="53"/>
      <c r="N241" s="53"/>
      <c r="O241" s="53"/>
      <c r="P241" s="53"/>
      <c r="Q241" s="53"/>
      <c r="R241" s="53"/>
      <c r="S241" s="53"/>
      <c r="T241" s="53"/>
      <c r="U241" s="53"/>
      <c r="V241" s="53"/>
    </row>
    <row r="242" spans="2:22" s="7" customFormat="1" x14ac:dyDescent="0.25">
      <c r="B242" s="58"/>
      <c r="C242" s="53"/>
      <c r="D242" s="53"/>
      <c r="E242" s="53"/>
      <c r="F242" s="53"/>
      <c r="G242" s="53"/>
      <c r="H242" s="53"/>
      <c r="I242" s="53"/>
      <c r="J242" s="53"/>
      <c r="K242" s="53"/>
      <c r="L242" s="53"/>
      <c r="M242" s="53"/>
      <c r="N242" s="53"/>
      <c r="O242" s="53"/>
      <c r="P242" s="53"/>
      <c r="Q242" s="53"/>
      <c r="R242" s="53"/>
      <c r="S242" s="53"/>
      <c r="T242" s="53"/>
      <c r="U242" s="53"/>
      <c r="V242" s="53"/>
    </row>
    <row r="243" spans="2:22" s="7" customFormat="1" x14ac:dyDescent="0.25">
      <c r="B243" s="58"/>
      <c r="C243" s="53"/>
      <c r="D243" s="53"/>
      <c r="E243" s="53"/>
      <c r="F243" s="53"/>
      <c r="G243" s="53"/>
      <c r="H243" s="53"/>
      <c r="I243" s="53"/>
      <c r="J243" s="53"/>
      <c r="K243" s="53"/>
      <c r="L243" s="53"/>
      <c r="M243" s="53"/>
      <c r="N243" s="53"/>
      <c r="O243" s="53"/>
      <c r="P243" s="53"/>
      <c r="Q243" s="53"/>
      <c r="R243" s="53"/>
      <c r="S243" s="53"/>
      <c r="T243" s="53"/>
      <c r="U243" s="53"/>
      <c r="V243" s="53"/>
    </row>
    <row r="244" spans="2:22" s="7" customFormat="1" x14ac:dyDescent="0.25">
      <c r="F244" s="58"/>
    </row>
    <row r="245" spans="2:22" s="7" customFormat="1" x14ac:dyDescent="0.25">
      <c r="B245" s="54"/>
    </row>
    <row r="246" spans="2:22" s="7" customFormat="1" x14ac:dyDescent="0.25">
      <c r="B246" s="55"/>
      <c r="C246" s="56"/>
      <c r="D246" s="56"/>
      <c r="E246" s="56"/>
      <c r="F246" s="56"/>
      <c r="G246" s="56"/>
      <c r="H246" s="56"/>
      <c r="I246" s="56"/>
      <c r="J246" s="56"/>
      <c r="K246" s="56"/>
      <c r="L246" s="56"/>
      <c r="M246" s="56"/>
      <c r="N246" s="56"/>
      <c r="O246" s="56"/>
      <c r="P246" s="56"/>
      <c r="Q246" s="56"/>
      <c r="R246" s="56"/>
      <c r="S246" s="56"/>
      <c r="T246" s="56"/>
      <c r="U246" s="56"/>
      <c r="V246" s="56"/>
    </row>
    <row r="247" spans="2:22" s="7" customFormat="1" x14ac:dyDescent="0.25">
      <c r="B247" s="58"/>
      <c r="C247" s="59"/>
      <c r="D247" s="59"/>
      <c r="E247" s="59"/>
      <c r="F247" s="59"/>
      <c r="G247" s="59"/>
      <c r="H247" s="59"/>
      <c r="I247" s="59"/>
      <c r="J247" s="59"/>
      <c r="K247" s="59"/>
      <c r="L247" s="59"/>
      <c r="M247" s="59"/>
      <c r="N247" s="59"/>
      <c r="O247" s="59"/>
      <c r="P247" s="59"/>
      <c r="Q247" s="59"/>
      <c r="R247" s="59"/>
      <c r="S247" s="59"/>
      <c r="T247" s="59"/>
      <c r="U247" s="59"/>
      <c r="V247" s="59"/>
    </row>
    <row r="248" spans="2:22" s="7" customFormat="1" x14ac:dyDescent="0.25">
      <c r="B248" s="58"/>
      <c r="C248" s="59"/>
      <c r="D248" s="59"/>
      <c r="E248" s="59"/>
      <c r="F248" s="59"/>
      <c r="G248" s="59"/>
      <c r="H248" s="59"/>
      <c r="I248" s="59"/>
      <c r="J248" s="59"/>
      <c r="K248" s="59"/>
      <c r="L248" s="59"/>
      <c r="M248" s="59"/>
      <c r="N248" s="59"/>
      <c r="O248" s="59"/>
      <c r="P248" s="59"/>
      <c r="Q248" s="59"/>
      <c r="R248" s="59"/>
      <c r="S248" s="59"/>
      <c r="T248" s="59"/>
      <c r="U248" s="59"/>
      <c r="V248" s="59"/>
    </row>
    <row r="249" spans="2:22" s="7" customFormat="1" x14ac:dyDescent="0.25">
      <c r="B249" s="58"/>
      <c r="C249" s="59"/>
      <c r="D249" s="59"/>
      <c r="E249" s="59"/>
      <c r="F249" s="59"/>
      <c r="G249" s="59"/>
      <c r="H249" s="59"/>
      <c r="I249" s="59"/>
      <c r="J249" s="59"/>
      <c r="K249" s="59"/>
      <c r="L249" s="59"/>
      <c r="M249" s="59"/>
      <c r="N249" s="59"/>
      <c r="O249" s="59"/>
      <c r="P249" s="59"/>
      <c r="Q249" s="59"/>
      <c r="R249" s="59"/>
      <c r="S249" s="59"/>
      <c r="T249" s="59"/>
      <c r="U249" s="59"/>
      <c r="V249" s="59"/>
    </row>
    <row r="250" spans="2:22" s="7" customFormat="1" x14ac:dyDescent="0.25">
      <c r="B250" s="58"/>
      <c r="C250" s="59"/>
      <c r="D250" s="59"/>
      <c r="E250" s="59"/>
      <c r="F250" s="59"/>
      <c r="G250" s="59"/>
      <c r="H250" s="59"/>
      <c r="I250" s="59"/>
      <c r="J250" s="59"/>
      <c r="K250" s="59"/>
      <c r="L250" s="59"/>
      <c r="M250" s="59"/>
      <c r="N250" s="59"/>
      <c r="O250" s="59"/>
      <c r="P250" s="59"/>
      <c r="Q250" s="59"/>
      <c r="R250" s="59"/>
      <c r="S250" s="59"/>
      <c r="T250" s="59"/>
      <c r="U250" s="59"/>
      <c r="V250" s="59"/>
    </row>
    <row r="251" spans="2:22" s="7" customFormat="1" x14ac:dyDescent="0.25">
      <c r="B251" s="58"/>
      <c r="C251" s="59"/>
      <c r="D251" s="59"/>
      <c r="E251" s="59"/>
      <c r="F251" s="59"/>
      <c r="G251" s="59"/>
      <c r="H251" s="59"/>
      <c r="I251" s="59"/>
      <c r="J251" s="59"/>
      <c r="K251" s="59"/>
      <c r="L251" s="59"/>
      <c r="M251" s="59"/>
      <c r="N251" s="59"/>
      <c r="O251" s="59"/>
      <c r="P251" s="59"/>
      <c r="Q251" s="59"/>
      <c r="R251" s="59"/>
      <c r="S251" s="59"/>
      <c r="T251" s="59"/>
      <c r="U251" s="59"/>
      <c r="V251" s="59"/>
    </row>
    <row r="252" spans="2:22" s="7" customFormat="1" x14ac:dyDescent="0.25">
      <c r="B252" s="58"/>
      <c r="C252" s="59"/>
      <c r="D252" s="59"/>
      <c r="E252" s="59"/>
      <c r="F252" s="59"/>
      <c r="G252" s="59"/>
      <c r="H252" s="59"/>
      <c r="I252" s="59"/>
      <c r="J252" s="59"/>
      <c r="K252" s="59"/>
      <c r="L252" s="59"/>
      <c r="M252" s="59"/>
      <c r="N252" s="59"/>
      <c r="O252" s="59"/>
      <c r="P252" s="59"/>
      <c r="Q252" s="59"/>
      <c r="R252" s="59"/>
      <c r="S252" s="59"/>
      <c r="T252" s="59"/>
      <c r="U252" s="59"/>
      <c r="V252" s="59"/>
    </row>
    <row r="253" spans="2:22" s="7" customFormat="1" x14ac:dyDescent="0.25">
      <c r="B253" s="58"/>
      <c r="C253" s="59"/>
      <c r="D253" s="59"/>
      <c r="E253" s="59"/>
      <c r="F253" s="59"/>
      <c r="G253" s="59"/>
      <c r="H253" s="59"/>
      <c r="I253" s="59"/>
      <c r="J253" s="59"/>
      <c r="K253" s="59"/>
      <c r="L253" s="59"/>
      <c r="M253" s="59"/>
      <c r="N253" s="59"/>
      <c r="O253" s="59"/>
      <c r="P253" s="59"/>
      <c r="Q253" s="59"/>
      <c r="R253" s="59"/>
      <c r="S253" s="59"/>
      <c r="T253" s="59"/>
      <c r="U253" s="59"/>
      <c r="V253" s="59"/>
    </row>
    <row r="254" spans="2:22" s="7" customFormat="1" x14ac:dyDescent="0.25">
      <c r="B254" s="58"/>
      <c r="C254" s="59"/>
      <c r="D254" s="59"/>
      <c r="E254" s="59"/>
      <c r="F254" s="59"/>
      <c r="G254" s="59"/>
      <c r="H254" s="59"/>
      <c r="I254" s="59"/>
      <c r="J254" s="59"/>
      <c r="K254" s="59"/>
      <c r="L254" s="59"/>
      <c r="M254" s="59"/>
      <c r="N254" s="59"/>
      <c r="O254" s="59"/>
      <c r="P254" s="59"/>
      <c r="Q254" s="59"/>
      <c r="R254" s="59"/>
      <c r="S254" s="59"/>
      <c r="T254" s="59"/>
      <c r="U254" s="59"/>
      <c r="V254" s="59"/>
    </row>
    <row r="255" spans="2:22" s="7" customFormat="1" x14ac:dyDescent="0.25">
      <c r="B255" s="58"/>
      <c r="C255" s="59"/>
      <c r="D255" s="59"/>
      <c r="E255" s="59"/>
      <c r="F255" s="59"/>
      <c r="G255" s="59"/>
      <c r="H255" s="59"/>
      <c r="I255" s="59"/>
      <c r="J255" s="59"/>
      <c r="K255" s="59"/>
      <c r="L255" s="59"/>
      <c r="M255" s="59"/>
      <c r="N255" s="59"/>
      <c r="O255" s="59"/>
      <c r="P255" s="59"/>
      <c r="Q255" s="59"/>
      <c r="R255" s="59"/>
      <c r="S255" s="59"/>
      <c r="T255" s="59"/>
      <c r="U255" s="59"/>
      <c r="V255" s="59"/>
    </row>
    <row r="256" spans="2:22" s="7" customFormat="1" x14ac:dyDescent="0.25">
      <c r="B256" s="58"/>
      <c r="C256" s="59"/>
      <c r="D256" s="59"/>
      <c r="E256" s="59"/>
      <c r="F256" s="59"/>
      <c r="G256" s="59"/>
      <c r="H256" s="59"/>
      <c r="I256" s="59"/>
      <c r="J256" s="59"/>
      <c r="K256" s="59"/>
      <c r="L256" s="59"/>
      <c r="M256" s="59"/>
      <c r="N256" s="59"/>
      <c r="O256" s="59"/>
      <c r="P256" s="59"/>
      <c r="Q256" s="59"/>
      <c r="R256" s="59"/>
      <c r="S256" s="59"/>
      <c r="T256" s="59"/>
      <c r="U256" s="59"/>
      <c r="V256" s="59"/>
    </row>
    <row r="257" spans="2:22" s="7" customFormat="1" x14ac:dyDescent="0.25">
      <c r="B257" s="58"/>
      <c r="C257" s="59"/>
      <c r="D257" s="59"/>
      <c r="E257" s="59"/>
      <c r="F257" s="59"/>
      <c r="G257" s="59"/>
      <c r="H257" s="59"/>
      <c r="I257" s="59"/>
      <c r="J257" s="59"/>
      <c r="K257" s="59"/>
      <c r="L257" s="59"/>
      <c r="M257" s="59"/>
      <c r="N257" s="59"/>
      <c r="O257" s="59"/>
      <c r="P257" s="59"/>
      <c r="Q257" s="59"/>
      <c r="R257" s="59"/>
      <c r="S257" s="59"/>
      <c r="T257" s="59"/>
      <c r="U257" s="59"/>
      <c r="V257" s="59"/>
    </row>
    <row r="258" spans="2:22" s="7" customFormat="1" x14ac:dyDescent="0.25">
      <c r="B258" s="58"/>
      <c r="C258" s="59"/>
      <c r="D258" s="59"/>
      <c r="E258" s="59"/>
      <c r="F258" s="59"/>
      <c r="G258" s="59"/>
      <c r="H258" s="59"/>
      <c r="I258" s="59"/>
      <c r="J258" s="59"/>
      <c r="K258" s="59"/>
      <c r="L258" s="59"/>
      <c r="M258" s="59"/>
      <c r="N258" s="59"/>
      <c r="O258" s="59"/>
      <c r="P258" s="59"/>
      <c r="Q258" s="59"/>
      <c r="R258" s="59"/>
      <c r="S258" s="59"/>
      <c r="T258" s="59"/>
      <c r="U258" s="59"/>
      <c r="V258" s="59"/>
    </row>
    <row r="259" spans="2:22" s="7" customFormat="1" x14ac:dyDescent="0.25">
      <c r="B259" s="58"/>
      <c r="C259" s="59"/>
      <c r="D259" s="59"/>
      <c r="E259" s="59"/>
      <c r="F259" s="59"/>
      <c r="G259" s="59"/>
      <c r="H259" s="59"/>
      <c r="I259" s="59"/>
      <c r="J259" s="59"/>
      <c r="K259" s="59"/>
      <c r="L259" s="59"/>
      <c r="M259" s="59"/>
      <c r="N259" s="59"/>
      <c r="O259" s="59"/>
      <c r="P259" s="59"/>
      <c r="Q259" s="59"/>
      <c r="R259" s="59"/>
      <c r="S259" s="59"/>
      <c r="T259" s="59"/>
      <c r="U259" s="59"/>
      <c r="V259" s="59"/>
    </row>
    <row r="260" spans="2:22" s="7" customFormat="1" x14ac:dyDescent="0.25">
      <c r="B260" s="58"/>
      <c r="C260" s="59"/>
      <c r="D260" s="59"/>
      <c r="E260" s="59"/>
      <c r="F260" s="59"/>
      <c r="G260" s="59"/>
      <c r="H260" s="59"/>
      <c r="I260" s="59"/>
      <c r="J260" s="59"/>
      <c r="K260" s="59"/>
      <c r="L260" s="59"/>
      <c r="M260" s="59"/>
      <c r="N260" s="59"/>
      <c r="O260" s="59"/>
      <c r="P260" s="59"/>
      <c r="Q260" s="59"/>
      <c r="R260" s="59"/>
      <c r="S260" s="59"/>
      <c r="T260" s="59"/>
      <c r="U260" s="59"/>
      <c r="V260" s="59"/>
    </row>
    <row r="261" spans="2:22" s="7" customFormat="1" x14ac:dyDescent="0.25">
      <c r="B261" s="58"/>
      <c r="F261" s="58"/>
    </row>
    <row r="262" spans="2:22" s="7" customFormat="1" x14ac:dyDescent="0.25">
      <c r="B262" s="58"/>
      <c r="F262" s="58"/>
    </row>
    <row r="263" spans="2:22" s="7" customFormat="1" x14ac:dyDescent="0.25"/>
    <row r="264" spans="2:22" s="7" customFormat="1" x14ac:dyDescent="0.25">
      <c r="B264" s="54"/>
    </row>
    <row r="265" spans="2:22" s="7" customFormat="1" x14ac:dyDescent="0.25">
      <c r="B265" s="55"/>
      <c r="C265" s="60"/>
      <c r="D265" s="60"/>
      <c r="E265" s="60"/>
      <c r="F265" s="60"/>
      <c r="G265" s="60"/>
      <c r="H265" s="60"/>
      <c r="I265" s="60"/>
      <c r="J265" s="60"/>
      <c r="K265" s="60"/>
      <c r="L265" s="60"/>
      <c r="M265" s="60"/>
      <c r="N265" s="60"/>
      <c r="O265" s="60"/>
      <c r="P265" s="60"/>
      <c r="Q265" s="60"/>
      <c r="R265" s="60"/>
      <c r="S265" s="60"/>
      <c r="T265" s="60"/>
      <c r="U265" s="60"/>
      <c r="V265" s="60"/>
    </row>
    <row r="266" spans="2:22" s="7" customFormat="1" x14ac:dyDescent="0.25">
      <c r="B266" s="58"/>
      <c r="C266" s="61"/>
      <c r="D266" s="61"/>
      <c r="E266" s="61"/>
      <c r="F266" s="61"/>
      <c r="G266" s="61"/>
      <c r="H266" s="61"/>
      <c r="I266" s="61"/>
      <c r="J266" s="61"/>
      <c r="K266" s="61"/>
      <c r="L266" s="62"/>
      <c r="M266" s="62"/>
      <c r="N266" s="62"/>
      <c r="O266" s="62"/>
      <c r="P266" s="62"/>
      <c r="Q266" s="62"/>
      <c r="R266" s="62"/>
      <c r="S266" s="62"/>
      <c r="T266" s="62"/>
      <c r="U266" s="62"/>
      <c r="V266" s="62"/>
    </row>
    <row r="267" spans="2:22" s="7" customFormat="1" x14ac:dyDescent="0.25">
      <c r="B267" s="58"/>
      <c r="C267" s="61"/>
      <c r="D267" s="61"/>
      <c r="E267" s="61"/>
      <c r="F267" s="61"/>
      <c r="G267" s="61"/>
      <c r="H267" s="61"/>
      <c r="I267" s="61"/>
      <c r="J267" s="61"/>
      <c r="K267" s="61"/>
      <c r="L267" s="62"/>
      <c r="M267" s="62"/>
      <c r="N267" s="62"/>
      <c r="O267" s="62"/>
      <c r="P267" s="62"/>
      <c r="Q267" s="62"/>
      <c r="R267" s="62"/>
      <c r="S267" s="62"/>
      <c r="T267" s="62"/>
      <c r="U267" s="62"/>
      <c r="V267" s="62"/>
    </row>
    <row r="268" spans="2:22" s="7" customFormat="1" x14ac:dyDescent="0.25">
      <c r="B268" s="58"/>
      <c r="C268" s="61"/>
      <c r="D268" s="61"/>
      <c r="E268" s="61"/>
      <c r="F268" s="61"/>
      <c r="G268" s="61"/>
      <c r="H268" s="61"/>
      <c r="I268" s="61"/>
      <c r="J268" s="61"/>
      <c r="K268" s="61"/>
      <c r="L268" s="62"/>
      <c r="M268" s="62"/>
      <c r="N268" s="62"/>
      <c r="O268" s="62"/>
      <c r="P268" s="62"/>
      <c r="Q268" s="62"/>
      <c r="R268" s="62"/>
      <c r="S268" s="62"/>
      <c r="T268" s="62"/>
      <c r="U268" s="62"/>
      <c r="V268" s="62"/>
    </row>
    <row r="269" spans="2:22" s="7" customFormat="1" x14ac:dyDescent="0.25">
      <c r="B269" s="58"/>
      <c r="C269" s="61"/>
      <c r="D269" s="61"/>
      <c r="E269" s="61"/>
      <c r="F269" s="61"/>
      <c r="G269" s="61"/>
      <c r="H269" s="61"/>
      <c r="I269" s="61"/>
      <c r="J269" s="61"/>
      <c r="K269" s="61"/>
      <c r="L269" s="62"/>
      <c r="M269" s="62"/>
      <c r="N269" s="62"/>
      <c r="O269" s="62"/>
      <c r="P269" s="62"/>
      <c r="Q269" s="62"/>
      <c r="R269" s="62"/>
      <c r="S269" s="62"/>
      <c r="T269" s="62"/>
      <c r="U269" s="62"/>
      <c r="V269" s="62"/>
    </row>
    <row r="270" spans="2:22" s="7" customFormat="1" x14ac:dyDescent="0.25">
      <c r="B270" s="58"/>
      <c r="C270" s="61"/>
      <c r="D270" s="61"/>
      <c r="E270" s="61"/>
      <c r="F270" s="61"/>
      <c r="G270" s="61"/>
      <c r="H270" s="61"/>
      <c r="I270" s="61"/>
      <c r="J270" s="61"/>
      <c r="K270" s="61"/>
      <c r="L270" s="62"/>
      <c r="M270" s="62"/>
      <c r="N270" s="62"/>
      <c r="O270" s="62"/>
      <c r="P270" s="62"/>
      <c r="Q270" s="62"/>
      <c r="R270" s="62"/>
      <c r="S270" s="62"/>
      <c r="T270" s="62"/>
      <c r="U270" s="62"/>
      <c r="V270" s="62"/>
    </row>
    <row r="271" spans="2:22" s="7" customFormat="1" x14ac:dyDescent="0.25">
      <c r="B271" s="58"/>
      <c r="C271" s="61"/>
      <c r="D271" s="61"/>
      <c r="E271" s="61"/>
      <c r="F271" s="61"/>
      <c r="G271" s="61"/>
      <c r="H271" s="61"/>
      <c r="I271" s="61"/>
      <c r="J271" s="61"/>
      <c r="K271" s="61"/>
      <c r="L271" s="62"/>
      <c r="M271" s="62"/>
      <c r="N271" s="62"/>
      <c r="O271" s="62"/>
      <c r="P271" s="62"/>
      <c r="Q271" s="62"/>
      <c r="R271" s="62"/>
      <c r="S271" s="62"/>
      <c r="T271" s="62"/>
      <c r="U271" s="62"/>
      <c r="V271" s="62"/>
    </row>
    <row r="272" spans="2:22" s="7" customFormat="1" x14ac:dyDescent="0.25">
      <c r="B272" s="58"/>
      <c r="C272" s="61"/>
      <c r="D272" s="61"/>
      <c r="E272" s="61"/>
      <c r="F272" s="61"/>
      <c r="G272" s="61"/>
      <c r="H272" s="61"/>
      <c r="I272" s="61"/>
      <c r="J272" s="61"/>
      <c r="K272" s="61"/>
      <c r="L272" s="62"/>
      <c r="M272" s="62"/>
      <c r="N272" s="62"/>
      <c r="O272" s="62"/>
      <c r="P272" s="62"/>
      <c r="Q272" s="62"/>
      <c r="R272" s="62"/>
      <c r="S272" s="62"/>
      <c r="T272" s="62"/>
      <c r="U272" s="62"/>
      <c r="V272" s="62"/>
    </row>
    <row r="273" spans="2:22" s="7" customFormat="1" x14ac:dyDescent="0.25">
      <c r="B273" s="58"/>
      <c r="C273" s="61"/>
      <c r="D273" s="61"/>
      <c r="E273" s="61"/>
      <c r="F273" s="61"/>
      <c r="G273" s="61"/>
      <c r="H273" s="61"/>
      <c r="I273" s="61"/>
      <c r="J273" s="61"/>
      <c r="K273" s="61"/>
      <c r="L273" s="62"/>
      <c r="M273" s="62"/>
      <c r="N273" s="62"/>
      <c r="O273" s="62"/>
      <c r="P273" s="62"/>
      <c r="Q273" s="62"/>
      <c r="R273" s="62"/>
      <c r="S273" s="62"/>
      <c r="T273" s="62"/>
      <c r="U273" s="62"/>
      <c r="V273" s="62"/>
    </row>
    <row r="274" spans="2:22" s="7" customFormat="1" x14ac:dyDescent="0.25">
      <c r="B274" s="58"/>
      <c r="C274" s="61"/>
      <c r="D274" s="61"/>
      <c r="E274" s="61"/>
      <c r="F274" s="61"/>
      <c r="G274" s="61"/>
      <c r="H274" s="61"/>
      <c r="I274" s="61"/>
      <c r="J274" s="61"/>
      <c r="K274" s="61"/>
      <c r="L274" s="62"/>
      <c r="M274" s="62"/>
      <c r="N274" s="62"/>
      <c r="O274" s="62"/>
      <c r="P274" s="62"/>
      <c r="Q274" s="62"/>
      <c r="R274" s="62"/>
      <c r="S274" s="62"/>
      <c r="T274" s="62"/>
      <c r="U274" s="62"/>
      <c r="V274" s="62"/>
    </row>
    <row r="275" spans="2:22" s="7" customFormat="1" x14ac:dyDescent="0.25">
      <c r="B275" s="58"/>
      <c r="C275" s="61"/>
      <c r="D275" s="61"/>
      <c r="E275" s="61"/>
      <c r="F275" s="61"/>
      <c r="G275" s="61"/>
      <c r="H275" s="61"/>
      <c r="I275" s="61"/>
      <c r="J275" s="61"/>
      <c r="K275" s="61"/>
      <c r="L275" s="62"/>
      <c r="M275" s="62"/>
      <c r="N275" s="62"/>
      <c r="O275" s="62"/>
      <c r="P275" s="62"/>
      <c r="Q275" s="62"/>
      <c r="R275" s="62"/>
      <c r="S275" s="62"/>
      <c r="T275" s="62"/>
      <c r="U275" s="62"/>
      <c r="V275" s="62"/>
    </row>
    <row r="276" spans="2:22" s="7" customFormat="1" x14ac:dyDescent="0.25">
      <c r="B276" s="58"/>
      <c r="C276" s="61"/>
      <c r="D276" s="61"/>
      <c r="E276" s="61"/>
      <c r="F276" s="61"/>
      <c r="G276" s="61"/>
      <c r="H276" s="61"/>
      <c r="I276" s="61"/>
      <c r="J276" s="61"/>
      <c r="K276" s="61"/>
      <c r="L276" s="62"/>
      <c r="M276" s="62"/>
      <c r="N276" s="62"/>
      <c r="O276" s="62"/>
      <c r="P276" s="62"/>
      <c r="Q276" s="62"/>
      <c r="R276" s="62"/>
      <c r="S276" s="62"/>
      <c r="T276" s="62"/>
      <c r="U276" s="62"/>
      <c r="V276" s="62"/>
    </row>
    <row r="277" spans="2:22" s="7" customFormat="1" x14ac:dyDescent="0.25">
      <c r="B277" s="58"/>
      <c r="C277" s="61"/>
      <c r="D277" s="61"/>
      <c r="E277" s="61"/>
      <c r="F277" s="61"/>
      <c r="G277" s="61"/>
      <c r="H277" s="61"/>
      <c r="I277" s="61"/>
      <c r="J277" s="61"/>
      <c r="K277" s="61"/>
      <c r="L277" s="62"/>
      <c r="M277" s="62"/>
      <c r="N277" s="62"/>
      <c r="O277" s="62"/>
      <c r="P277" s="62"/>
      <c r="Q277" s="62"/>
      <c r="R277" s="62"/>
      <c r="S277" s="62"/>
      <c r="T277" s="62"/>
      <c r="U277" s="62"/>
      <c r="V277" s="62"/>
    </row>
    <row r="278" spans="2:22" s="7" customFormat="1" x14ac:dyDescent="0.25">
      <c r="B278" s="58"/>
      <c r="C278" s="61"/>
      <c r="D278" s="61"/>
      <c r="E278" s="61"/>
      <c r="F278" s="61"/>
      <c r="G278" s="61"/>
      <c r="H278" s="61"/>
      <c r="I278" s="61"/>
      <c r="J278" s="61"/>
      <c r="K278" s="61"/>
      <c r="L278" s="62"/>
      <c r="M278" s="62"/>
      <c r="N278" s="62"/>
      <c r="O278" s="62"/>
      <c r="P278" s="62"/>
      <c r="Q278" s="62"/>
      <c r="R278" s="62"/>
      <c r="S278" s="62"/>
      <c r="T278" s="62"/>
      <c r="U278" s="62"/>
      <c r="V278" s="62"/>
    </row>
    <row r="279" spans="2:22" s="7" customFormat="1" x14ac:dyDescent="0.25">
      <c r="B279" s="58"/>
      <c r="C279" s="61"/>
      <c r="D279" s="61"/>
      <c r="E279" s="61"/>
      <c r="F279" s="61"/>
      <c r="G279" s="61"/>
      <c r="H279" s="61"/>
      <c r="I279" s="61"/>
      <c r="J279" s="61"/>
      <c r="K279" s="61"/>
      <c r="L279" s="62"/>
      <c r="M279" s="62"/>
      <c r="N279" s="62"/>
      <c r="O279" s="62"/>
      <c r="P279" s="62"/>
      <c r="Q279" s="62"/>
      <c r="R279" s="62"/>
      <c r="S279" s="62"/>
      <c r="T279" s="62"/>
      <c r="U279" s="62"/>
      <c r="V279" s="62"/>
    </row>
    <row r="280" spans="2:22" s="7" customFormat="1" x14ac:dyDescent="0.25">
      <c r="B280" s="58"/>
      <c r="C280" s="61"/>
      <c r="D280" s="61"/>
      <c r="E280" s="61"/>
      <c r="F280" s="61"/>
      <c r="G280" s="61"/>
      <c r="H280" s="61"/>
      <c r="I280" s="61"/>
      <c r="J280" s="61"/>
      <c r="K280" s="61"/>
      <c r="L280" s="62"/>
      <c r="M280" s="63"/>
      <c r="N280" s="63"/>
      <c r="O280" s="63"/>
      <c r="P280" s="63"/>
      <c r="Q280" s="63"/>
      <c r="R280" s="63"/>
      <c r="S280" s="63"/>
      <c r="T280" s="63"/>
      <c r="U280" s="63"/>
      <c r="V280" s="63"/>
    </row>
    <row r="281" spans="2:22" s="7" customFormat="1" x14ac:dyDescent="0.25">
      <c r="B281" s="58"/>
      <c r="C281" s="61"/>
      <c r="D281" s="61"/>
      <c r="E281" s="61"/>
      <c r="F281" s="61"/>
      <c r="G281" s="61"/>
      <c r="H281" s="61"/>
      <c r="I281" s="61"/>
      <c r="J281" s="61"/>
      <c r="K281" s="61"/>
      <c r="L281" s="62"/>
    </row>
    <row r="282" spans="2:22" s="7" customFormat="1" x14ac:dyDescent="0.25"/>
    <row r="283" spans="2:22" s="7" customFormat="1" x14ac:dyDescent="0.25">
      <c r="B283" s="55"/>
      <c r="C283" s="60"/>
      <c r="D283" s="60"/>
      <c r="E283" s="60"/>
      <c r="F283" s="60"/>
      <c r="G283" s="60"/>
      <c r="H283" s="60"/>
      <c r="I283" s="60"/>
      <c r="J283" s="60"/>
      <c r="K283" s="60"/>
      <c r="L283" s="60"/>
      <c r="M283" s="60"/>
      <c r="N283" s="60"/>
      <c r="O283" s="60"/>
      <c r="P283" s="60"/>
      <c r="Q283" s="60"/>
      <c r="R283" s="60"/>
      <c r="S283" s="60"/>
      <c r="T283" s="60"/>
      <c r="U283" s="60"/>
      <c r="V283" s="60"/>
    </row>
    <row r="284" spans="2:22" s="7" customFormat="1" x14ac:dyDescent="0.25">
      <c r="B284" s="58"/>
      <c r="D284" s="61"/>
      <c r="E284" s="61"/>
      <c r="F284" s="61"/>
      <c r="G284" s="61"/>
      <c r="H284" s="61"/>
      <c r="I284" s="61"/>
      <c r="J284" s="61"/>
      <c r="K284" s="61"/>
      <c r="L284" s="61"/>
      <c r="M284" s="61"/>
      <c r="N284" s="61"/>
      <c r="O284" s="61"/>
      <c r="P284" s="61"/>
      <c r="Q284" s="61"/>
      <c r="R284" s="61"/>
      <c r="S284" s="61"/>
      <c r="T284" s="61"/>
      <c r="U284" s="61"/>
      <c r="V284" s="61"/>
    </row>
    <row r="285" spans="2:22" s="7" customFormat="1" x14ac:dyDescent="0.25">
      <c r="B285" s="58"/>
      <c r="D285" s="61"/>
      <c r="E285" s="61"/>
      <c r="F285" s="61"/>
      <c r="G285" s="61"/>
      <c r="H285" s="61"/>
      <c r="I285" s="61"/>
      <c r="J285" s="61"/>
      <c r="K285" s="61"/>
      <c r="L285" s="61"/>
      <c r="M285" s="61"/>
      <c r="N285" s="61"/>
      <c r="O285" s="61"/>
      <c r="P285" s="61"/>
      <c r="Q285" s="61"/>
      <c r="R285" s="61"/>
      <c r="S285" s="61"/>
      <c r="T285" s="61"/>
      <c r="U285" s="61"/>
      <c r="V285" s="61"/>
    </row>
    <row r="286" spans="2:22" s="7" customFormat="1" x14ac:dyDescent="0.25">
      <c r="B286" s="58"/>
      <c r="D286" s="61"/>
      <c r="E286" s="61"/>
      <c r="F286" s="61"/>
      <c r="G286" s="61"/>
      <c r="H286" s="61"/>
      <c r="I286" s="61"/>
      <c r="J286" s="61"/>
      <c r="K286" s="61"/>
      <c r="L286" s="61"/>
      <c r="M286" s="61"/>
      <c r="N286" s="61"/>
      <c r="O286" s="61"/>
      <c r="P286" s="61"/>
      <c r="Q286" s="61"/>
      <c r="R286" s="61"/>
      <c r="S286" s="61"/>
      <c r="T286" s="61"/>
      <c r="U286" s="61"/>
      <c r="V286" s="61"/>
    </row>
    <row r="287" spans="2:22" s="7" customFormat="1" x14ac:dyDescent="0.25">
      <c r="B287" s="58"/>
      <c r="D287" s="61"/>
      <c r="E287" s="61"/>
      <c r="F287" s="61"/>
      <c r="G287" s="61"/>
      <c r="H287" s="61"/>
      <c r="I287" s="61"/>
      <c r="J287" s="61"/>
      <c r="K287" s="61"/>
      <c r="L287" s="61"/>
      <c r="M287" s="61"/>
      <c r="N287" s="61"/>
      <c r="O287" s="61"/>
      <c r="P287" s="61"/>
      <c r="Q287" s="61"/>
      <c r="R287" s="61"/>
      <c r="S287" s="61"/>
      <c r="T287" s="61"/>
      <c r="U287" s="61"/>
      <c r="V287" s="61"/>
    </row>
    <row r="288" spans="2:22" s="7" customFormat="1" x14ac:dyDescent="0.25">
      <c r="B288" s="58"/>
      <c r="D288" s="61"/>
      <c r="E288" s="61"/>
      <c r="F288" s="61"/>
      <c r="G288" s="61"/>
      <c r="H288" s="61"/>
      <c r="I288" s="61"/>
      <c r="J288" s="61"/>
      <c r="K288" s="61"/>
      <c r="L288" s="61"/>
      <c r="M288" s="61"/>
      <c r="N288" s="61"/>
      <c r="O288" s="61"/>
      <c r="P288" s="61"/>
      <c r="Q288" s="61"/>
      <c r="R288" s="61"/>
      <c r="S288" s="61"/>
      <c r="T288" s="61"/>
      <c r="U288" s="61"/>
      <c r="V288" s="61"/>
    </row>
    <row r="289" spans="2:22" s="7" customFormat="1" x14ac:dyDescent="0.25">
      <c r="B289" s="58"/>
      <c r="D289" s="61"/>
      <c r="E289" s="61"/>
      <c r="F289" s="61"/>
      <c r="G289" s="61"/>
      <c r="H289" s="61"/>
      <c r="I289" s="61"/>
      <c r="J289" s="61"/>
      <c r="K289" s="61"/>
      <c r="L289" s="61"/>
      <c r="M289" s="61"/>
      <c r="N289" s="61"/>
      <c r="O289" s="61"/>
      <c r="P289" s="61"/>
      <c r="Q289" s="61"/>
      <c r="R289" s="61"/>
      <c r="S289" s="61"/>
      <c r="T289" s="61"/>
      <c r="U289" s="61"/>
      <c r="V289" s="61"/>
    </row>
    <row r="290" spans="2:22" s="7" customFormat="1" x14ac:dyDescent="0.25">
      <c r="B290" s="58"/>
      <c r="D290" s="61"/>
      <c r="E290" s="61"/>
      <c r="F290" s="61"/>
      <c r="G290" s="61"/>
      <c r="H290" s="61"/>
      <c r="I290" s="61"/>
      <c r="J290" s="61"/>
      <c r="K290" s="61"/>
      <c r="L290" s="61"/>
      <c r="M290" s="61"/>
      <c r="N290" s="61"/>
      <c r="O290" s="61"/>
      <c r="P290" s="61"/>
      <c r="Q290" s="61"/>
      <c r="R290" s="61"/>
      <c r="S290" s="61"/>
      <c r="T290" s="61"/>
      <c r="U290" s="61"/>
      <c r="V290" s="61"/>
    </row>
    <row r="291" spans="2:22" s="7" customFormat="1" x14ac:dyDescent="0.25">
      <c r="B291" s="58"/>
      <c r="D291" s="61"/>
      <c r="E291" s="61"/>
      <c r="F291" s="61"/>
      <c r="G291" s="61"/>
      <c r="H291" s="61"/>
      <c r="I291" s="61"/>
      <c r="J291" s="61"/>
      <c r="K291" s="61"/>
      <c r="L291" s="61"/>
      <c r="M291" s="61"/>
      <c r="N291" s="61"/>
      <c r="O291" s="61"/>
      <c r="P291" s="61"/>
      <c r="Q291" s="61"/>
      <c r="R291" s="61"/>
      <c r="S291" s="61"/>
      <c r="T291" s="61"/>
      <c r="U291" s="61"/>
      <c r="V291" s="61"/>
    </row>
    <row r="292" spans="2:22" s="7" customFormat="1" x14ac:dyDescent="0.25">
      <c r="B292" s="58"/>
      <c r="D292" s="61"/>
      <c r="E292" s="61"/>
      <c r="F292" s="61"/>
      <c r="G292" s="61"/>
      <c r="H292" s="61"/>
      <c r="I292" s="61"/>
      <c r="J292" s="61"/>
      <c r="K292" s="61"/>
      <c r="L292" s="61"/>
      <c r="M292" s="61"/>
      <c r="N292" s="61"/>
      <c r="O292" s="61"/>
      <c r="P292" s="61"/>
      <c r="Q292" s="61"/>
      <c r="R292" s="61"/>
      <c r="S292" s="61"/>
      <c r="T292" s="61"/>
      <c r="U292" s="61"/>
      <c r="V292" s="61"/>
    </row>
    <row r="293" spans="2:22" s="7" customFormat="1" x14ac:dyDescent="0.25">
      <c r="B293" s="58"/>
      <c r="D293" s="61"/>
      <c r="E293" s="61"/>
      <c r="F293" s="61"/>
      <c r="G293" s="61"/>
      <c r="H293" s="61"/>
      <c r="I293" s="61"/>
      <c r="J293" s="61"/>
      <c r="K293" s="61"/>
      <c r="L293" s="61"/>
      <c r="M293" s="61"/>
      <c r="N293" s="61"/>
      <c r="O293" s="61"/>
      <c r="P293" s="61"/>
      <c r="Q293" s="61"/>
      <c r="R293" s="61"/>
      <c r="S293" s="61"/>
      <c r="T293" s="61"/>
      <c r="U293" s="61"/>
      <c r="V293" s="61"/>
    </row>
    <row r="294" spans="2:22" s="7" customFormat="1" x14ac:dyDescent="0.25">
      <c r="B294" s="58"/>
      <c r="D294" s="61"/>
      <c r="E294" s="61"/>
      <c r="F294" s="61"/>
      <c r="G294" s="61"/>
      <c r="H294" s="61"/>
      <c r="I294" s="61"/>
      <c r="J294" s="61"/>
      <c r="K294" s="61"/>
      <c r="L294" s="61"/>
      <c r="M294" s="61"/>
      <c r="N294" s="61"/>
      <c r="O294" s="61"/>
      <c r="P294" s="61"/>
      <c r="Q294" s="61"/>
      <c r="R294" s="61"/>
      <c r="S294" s="61"/>
      <c r="T294" s="61"/>
      <c r="U294" s="61"/>
      <c r="V294" s="61"/>
    </row>
    <row r="295" spans="2:22" s="7" customFormat="1" x14ac:dyDescent="0.25">
      <c r="B295" s="58"/>
      <c r="D295" s="61"/>
      <c r="E295" s="61"/>
      <c r="F295" s="61"/>
      <c r="G295" s="61"/>
      <c r="H295" s="61"/>
      <c r="I295" s="61"/>
      <c r="J295" s="61"/>
      <c r="K295" s="61"/>
      <c r="L295" s="61"/>
      <c r="M295" s="61"/>
      <c r="N295" s="61"/>
      <c r="O295" s="61"/>
      <c r="P295" s="61"/>
      <c r="Q295" s="61"/>
      <c r="R295" s="61"/>
      <c r="S295" s="61"/>
      <c r="T295" s="61"/>
      <c r="U295" s="61"/>
      <c r="V295" s="61"/>
    </row>
    <row r="296" spans="2:22" s="7" customFormat="1" x14ac:dyDescent="0.25">
      <c r="B296" s="58"/>
      <c r="D296" s="61"/>
      <c r="E296" s="61"/>
      <c r="F296" s="61"/>
      <c r="G296" s="61"/>
      <c r="H296" s="61"/>
      <c r="I296" s="61"/>
      <c r="J296" s="61"/>
      <c r="K296" s="61"/>
      <c r="L296" s="61"/>
      <c r="M296" s="61"/>
      <c r="N296" s="61"/>
      <c r="O296" s="61"/>
      <c r="P296" s="61"/>
      <c r="Q296" s="61"/>
      <c r="R296" s="61"/>
      <c r="S296" s="61"/>
      <c r="T296" s="61"/>
      <c r="U296" s="61"/>
      <c r="V296" s="61"/>
    </row>
    <row r="297" spans="2:22" s="7" customFormat="1" x14ac:dyDescent="0.25">
      <c r="B297" s="58"/>
      <c r="D297" s="61"/>
      <c r="E297" s="61"/>
      <c r="F297" s="61"/>
      <c r="G297" s="61"/>
      <c r="H297" s="61"/>
      <c r="I297" s="61"/>
      <c r="J297" s="61"/>
      <c r="K297" s="61"/>
      <c r="L297" s="61"/>
      <c r="M297" s="61"/>
      <c r="N297" s="61"/>
      <c r="O297" s="61"/>
      <c r="P297" s="61"/>
      <c r="Q297" s="61"/>
      <c r="R297" s="61"/>
      <c r="S297" s="61"/>
      <c r="T297" s="61"/>
      <c r="U297" s="61"/>
      <c r="V297" s="61"/>
    </row>
    <row r="298" spans="2:22" s="7" customFormat="1" x14ac:dyDescent="0.25">
      <c r="B298" s="58"/>
    </row>
    <row r="299" spans="2:22" s="7" customFormat="1" x14ac:dyDescent="0.25">
      <c r="B299" s="58"/>
    </row>
    <row r="300" spans="2:22" s="7" customFormat="1" x14ac:dyDescent="0.25"/>
    <row r="301" spans="2:22" s="7" customFormat="1" x14ac:dyDescent="0.25"/>
    <row r="302" spans="2:22" s="7" customFormat="1" x14ac:dyDescent="0.25">
      <c r="B302" s="55"/>
      <c r="C302" s="60"/>
      <c r="D302" s="60"/>
      <c r="E302" s="60"/>
      <c r="F302" s="60"/>
      <c r="G302" s="60"/>
      <c r="H302" s="60"/>
      <c r="I302" s="60"/>
      <c r="J302" s="60"/>
      <c r="K302" s="60"/>
      <c r="L302" s="60"/>
      <c r="M302" s="60"/>
      <c r="N302" s="60"/>
      <c r="O302" s="60"/>
      <c r="P302" s="60"/>
      <c r="Q302" s="60"/>
      <c r="R302" s="60"/>
      <c r="S302" s="60"/>
      <c r="T302" s="60"/>
      <c r="U302" s="60"/>
      <c r="V302" s="60"/>
    </row>
    <row r="303" spans="2:22" s="7" customFormat="1" x14ac:dyDescent="0.25">
      <c r="B303" s="58"/>
      <c r="D303" s="61"/>
      <c r="E303" s="61"/>
      <c r="F303" s="61"/>
      <c r="G303" s="61"/>
      <c r="H303" s="61"/>
      <c r="I303" s="61"/>
      <c r="J303" s="61"/>
      <c r="K303" s="61"/>
      <c r="L303" s="61"/>
      <c r="M303" s="61"/>
      <c r="N303" s="61"/>
      <c r="O303" s="61"/>
      <c r="P303" s="61"/>
      <c r="Q303" s="61"/>
      <c r="R303" s="61"/>
      <c r="S303" s="61"/>
      <c r="T303" s="61"/>
      <c r="U303" s="61"/>
      <c r="V303" s="61"/>
    </row>
    <row r="304" spans="2:22" s="7" customFormat="1" x14ac:dyDescent="0.25">
      <c r="B304" s="58"/>
      <c r="D304" s="61"/>
      <c r="E304" s="61"/>
      <c r="F304" s="61"/>
      <c r="G304" s="61"/>
      <c r="H304" s="61"/>
      <c r="I304" s="61"/>
      <c r="J304" s="61"/>
      <c r="K304" s="61"/>
      <c r="L304" s="61"/>
      <c r="M304" s="61"/>
      <c r="N304" s="61"/>
      <c r="O304" s="61"/>
      <c r="P304" s="61"/>
      <c r="Q304" s="61"/>
      <c r="R304" s="61"/>
      <c r="S304" s="61"/>
      <c r="T304" s="61"/>
      <c r="U304" s="61"/>
      <c r="V304" s="61"/>
    </row>
    <row r="305" spans="2:22" s="7" customFormat="1" x14ac:dyDescent="0.25">
      <c r="B305" s="58"/>
      <c r="D305" s="61"/>
      <c r="E305" s="61"/>
      <c r="F305" s="61"/>
      <c r="G305" s="61"/>
      <c r="H305" s="61"/>
      <c r="I305" s="61"/>
      <c r="J305" s="61"/>
      <c r="K305" s="61"/>
      <c r="L305" s="61"/>
      <c r="M305" s="61"/>
      <c r="N305" s="61"/>
      <c r="O305" s="61"/>
      <c r="P305" s="61"/>
      <c r="Q305" s="61"/>
      <c r="R305" s="61"/>
      <c r="S305" s="61"/>
      <c r="T305" s="61"/>
      <c r="U305" s="61"/>
      <c r="V305" s="61"/>
    </row>
    <row r="306" spans="2:22" s="7" customFormat="1" x14ac:dyDescent="0.25">
      <c r="B306" s="58"/>
      <c r="D306" s="61"/>
      <c r="E306" s="61"/>
      <c r="F306" s="61"/>
      <c r="G306" s="61"/>
      <c r="H306" s="61"/>
      <c r="I306" s="61"/>
      <c r="J306" s="61"/>
      <c r="K306" s="61"/>
      <c r="L306" s="61"/>
      <c r="M306" s="61"/>
      <c r="N306" s="61"/>
      <c r="O306" s="61"/>
      <c r="P306" s="61"/>
      <c r="Q306" s="61"/>
      <c r="R306" s="61"/>
      <c r="S306" s="61"/>
      <c r="T306" s="61"/>
      <c r="U306" s="61"/>
      <c r="V306" s="61"/>
    </row>
    <row r="307" spans="2:22" s="7" customFormat="1" x14ac:dyDescent="0.25">
      <c r="B307" s="58"/>
      <c r="D307" s="61"/>
      <c r="E307" s="61"/>
      <c r="F307" s="61"/>
      <c r="G307" s="61"/>
      <c r="H307" s="61"/>
      <c r="I307" s="61"/>
      <c r="J307" s="61"/>
      <c r="K307" s="61"/>
      <c r="L307" s="61"/>
      <c r="M307" s="61"/>
      <c r="N307" s="61"/>
      <c r="O307" s="61"/>
      <c r="P307" s="61"/>
      <c r="Q307" s="61"/>
      <c r="R307" s="61"/>
      <c r="S307" s="61"/>
      <c r="T307" s="61"/>
      <c r="U307" s="61"/>
      <c r="V307" s="61"/>
    </row>
    <row r="308" spans="2:22" s="7" customFormat="1" x14ac:dyDescent="0.25">
      <c r="B308" s="58"/>
      <c r="D308" s="61"/>
      <c r="E308" s="61"/>
      <c r="F308" s="61"/>
      <c r="G308" s="61"/>
      <c r="H308" s="61"/>
      <c r="I308" s="61"/>
      <c r="J308" s="61"/>
      <c r="K308" s="61"/>
      <c r="L308" s="61"/>
      <c r="M308" s="61"/>
      <c r="N308" s="61"/>
      <c r="O308" s="61"/>
      <c r="P308" s="61"/>
      <c r="Q308" s="61"/>
      <c r="R308" s="61"/>
      <c r="S308" s="61"/>
      <c r="T308" s="61"/>
      <c r="U308" s="61"/>
      <c r="V308" s="61"/>
    </row>
    <row r="309" spans="2:22" s="7" customFormat="1" x14ac:dyDescent="0.25">
      <c r="B309" s="58"/>
      <c r="D309" s="61"/>
      <c r="E309" s="61"/>
      <c r="F309" s="61"/>
      <c r="G309" s="61"/>
      <c r="H309" s="61"/>
      <c r="I309" s="61"/>
      <c r="J309" s="61"/>
      <c r="K309" s="61"/>
      <c r="L309" s="61"/>
      <c r="M309" s="61"/>
      <c r="N309" s="61"/>
      <c r="O309" s="61"/>
      <c r="P309" s="61"/>
      <c r="Q309" s="61"/>
      <c r="R309" s="61"/>
      <c r="S309" s="61"/>
      <c r="T309" s="61"/>
      <c r="U309" s="61"/>
      <c r="V309" s="61"/>
    </row>
    <row r="310" spans="2:22" s="7" customFormat="1" x14ac:dyDescent="0.25">
      <c r="B310" s="58"/>
      <c r="D310" s="61"/>
      <c r="E310" s="61"/>
      <c r="F310" s="61"/>
      <c r="G310" s="61"/>
      <c r="H310" s="61"/>
      <c r="I310" s="61"/>
      <c r="J310" s="61"/>
      <c r="K310" s="61"/>
      <c r="L310" s="61"/>
      <c r="M310" s="61"/>
      <c r="N310" s="61"/>
      <c r="O310" s="61"/>
      <c r="P310" s="61"/>
      <c r="Q310" s="61"/>
      <c r="R310" s="61"/>
      <c r="S310" s="61"/>
      <c r="T310" s="61"/>
      <c r="U310" s="61"/>
      <c r="V310" s="61"/>
    </row>
    <row r="311" spans="2:22" s="7" customFormat="1" x14ac:dyDescent="0.25">
      <c r="B311" s="58"/>
      <c r="D311" s="61"/>
      <c r="E311" s="61"/>
      <c r="F311" s="61"/>
      <c r="G311" s="61"/>
      <c r="H311" s="61"/>
      <c r="I311" s="61"/>
      <c r="J311" s="61"/>
      <c r="K311" s="61"/>
      <c r="L311" s="61"/>
      <c r="M311" s="61"/>
      <c r="N311" s="61"/>
      <c r="O311" s="61"/>
      <c r="P311" s="61"/>
      <c r="Q311" s="61"/>
      <c r="R311" s="61"/>
      <c r="S311" s="61"/>
      <c r="T311" s="61"/>
      <c r="U311" s="61"/>
      <c r="V311" s="61"/>
    </row>
    <row r="312" spans="2:22" s="7" customFormat="1" x14ac:dyDescent="0.25">
      <c r="B312" s="58"/>
      <c r="D312" s="61"/>
      <c r="E312" s="61"/>
      <c r="F312" s="61"/>
      <c r="G312" s="61"/>
      <c r="H312" s="61"/>
      <c r="I312" s="61"/>
      <c r="J312" s="61"/>
      <c r="K312" s="61"/>
      <c r="L312" s="61"/>
      <c r="M312" s="61"/>
      <c r="N312" s="61"/>
      <c r="O312" s="61"/>
      <c r="P312" s="61"/>
      <c r="Q312" s="61"/>
      <c r="R312" s="61"/>
      <c r="S312" s="61"/>
      <c r="T312" s="61"/>
      <c r="U312" s="61"/>
      <c r="V312" s="61"/>
    </row>
    <row r="313" spans="2:22" s="7" customFormat="1" x14ac:dyDescent="0.25">
      <c r="B313" s="58"/>
      <c r="D313" s="61"/>
      <c r="E313" s="61"/>
      <c r="F313" s="61"/>
      <c r="G313" s="61"/>
      <c r="H313" s="61"/>
      <c r="I313" s="61"/>
      <c r="J313" s="61"/>
      <c r="K313" s="61"/>
      <c r="L313" s="61"/>
      <c r="M313" s="61"/>
      <c r="N313" s="61"/>
      <c r="O313" s="61"/>
      <c r="P313" s="61"/>
      <c r="Q313" s="61"/>
      <c r="R313" s="61"/>
      <c r="S313" s="61"/>
      <c r="T313" s="61"/>
      <c r="U313" s="61"/>
      <c r="V313" s="61"/>
    </row>
    <row r="314" spans="2:22" s="7" customFormat="1" x14ac:dyDescent="0.25">
      <c r="B314" s="58"/>
      <c r="D314" s="61"/>
      <c r="E314" s="61"/>
      <c r="F314" s="61"/>
      <c r="G314" s="61"/>
      <c r="H314" s="61"/>
      <c r="I314" s="61"/>
      <c r="J314" s="61"/>
      <c r="K314" s="61"/>
      <c r="L314" s="61"/>
      <c r="M314" s="61"/>
      <c r="N314" s="61"/>
      <c r="O314" s="61"/>
      <c r="P314" s="61"/>
      <c r="Q314" s="61"/>
      <c r="R314" s="61"/>
      <c r="S314" s="61"/>
      <c r="T314" s="61"/>
      <c r="U314" s="61"/>
      <c r="V314" s="61"/>
    </row>
    <row r="315" spans="2:22" s="7" customFormat="1" x14ac:dyDescent="0.25">
      <c r="B315" s="58"/>
      <c r="D315" s="61"/>
      <c r="E315" s="61"/>
      <c r="F315" s="61"/>
      <c r="G315" s="61"/>
      <c r="H315" s="61"/>
      <c r="I315" s="61"/>
      <c r="J315" s="61"/>
      <c r="K315" s="61"/>
      <c r="L315" s="61"/>
      <c r="M315" s="61"/>
      <c r="N315" s="61"/>
      <c r="O315" s="61"/>
      <c r="P315" s="61"/>
      <c r="Q315" s="61"/>
      <c r="R315" s="61"/>
      <c r="S315" s="61"/>
      <c r="T315" s="61"/>
      <c r="U315" s="61"/>
      <c r="V315" s="61"/>
    </row>
    <row r="316" spans="2:22" s="7" customFormat="1" x14ac:dyDescent="0.25">
      <c r="B316" s="58"/>
      <c r="D316" s="61"/>
      <c r="E316" s="61"/>
      <c r="F316" s="61"/>
      <c r="G316" s="61"/>
      <c r="H316" s="61"/>
      <c r="I316" s="61"/>
      <c r="J316" s="61"/>
      <c r="K316" s="61"/>
      <c r="L316" s="61"/>
      <c r="M316" s="61"/>
      <c r="N316" s="61"/>
      <c r="O316" s="61"/>
      <c r="P316" s="61"/>
      <c r="Q316" s="61"/>
      <c r="R316" s="61"/>
      <c r="S316" s="61"/>
      <c r="T316" s="61"/>
      <c r="U316" s="61"/>
      <c r="V316" s="61"/>
    </row>
    <row r="317" spans="2:22" s="7" customFormat="1" x14ac:dyDescent="0.25">
      <c r="B317" s="58"/>
    </row>
    <row r="318" spans="2:22" s="7" customFormat="1" x14ac:dyDescent="0.25">
      <c r="B318" s="58"/>
    </row>
    <row r="319" spans="2:22" s="7" customFormat="1" x14ac:dyDescent="0.25"/>
    <row r="320" spans="2:22"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row r="372" s="7" customFormat="1" x14ac:dyDescent="0.25"/>
    <row r="373" s="7" customFormat="1" x14ac:dyDescent="0.25"/>
    <row r="374" s="7" customFormat="1" x14ac:dyDescent="0.25"/>
    <row r="375" s="7" customFormat="1" x14ac:dyDescent="0.25"/>
    <row r="376" s="7" customFormat="1" x14ac:dyDescent="0.25"/>
    <row r="377" s="7" customFormat="1" x14ac:dyDescent="0.25"/>
    <row r="378" s="7" customFormat="1" x14ac:dyDescent="0.25"/>
    <row r="379" s="7" customFormat="1" x14ac:dyDescent="0.25"/>
    <row r="380" s="7" customFormat="1" x14ac:dyDescent="0.25"/>
    <row r="381" s="7" customFormat="1" x14ac:dyDescent="0.25"/>
    <row r="382" s="7" customFormat="1" x14ac:dyDescent="0.25"/>
    <row r="383" s="7" customFormat="1" x14ac:dyDescent="0.25"/>
    <row r="384" s="7" customFormat="1" x14ac:dyDescent="0.25"/>
    <row r="385" s="7" customFormat="1" x14ac:dyDescent="0.25"/>
    <row r="386" s="7" customFormat="1" x14ac:dyDescent="0.25"/>
    <row r="387" s="7" customFormat="1" x14ac:dyDescent="0.25"/>
    <row r="388" s="7" customFormat="1" x14ac:dyDescent="0.25"/>
    <row r="389" s="7" customFormat="1" x14ac:dyDescent="0.25"/>
    <row r="390" s="7" customFormat="1" x14ac:dyDescent="0.25"/>
    <row r="391" s="7" customFormat="1" x14ac:dyDescent="0.25"/>
    <row r="392" s="7" customFormat="1" x14ac:dyDescent="0.25"/>
    <row r="393" s="7" customFormat="1" x14ac:dyDescent="0.25"/>
    <row r="394" s="7" customFormat="1" x14ac:dyDescent="0.25"/>
    <row r="395" s="7" customFormat="1" x14ac:dyDescent="0.25"/>
    <row r="396" s="7" customFormat="1" x14ac:dyDescent="0.25"/>
    <row r="397" s="7" customFormat="1" x14ac:dyDescent="0.25"/>
    <row r="398" s="7" customFormat="1" x14ac:dyDescent="0.25"/>
    <row r="399" s="7" customFormat="1" x14ac:dyDescent="0.25"/>
    <row r="400" s="7" customFormat="1" x14ac:dyDescent="0.25"/>
    <row r="401" s="7" customFormat="1" x14ac:dyDescent="0.25"/>
    <row r="402" s="7" customFormat="1" x14ac:dyDescent="0.25"/>
    <row r="403" s="7" customFormat="1" x14ac:dyDescent="0.25"/>
    <row r="404" s="7" customFormat="1" x14ac:dyDescent="0.25"/>
    <row r="405" s="7" customFormat="1" x14ac:dyDescent="0.25"/>
    <row r="406" s="7" customFormat="1" x14ac:dyDescent="0.25"/>
    <row r="407" s="7" customFormat="1" x14ac:dyDescent="0.25"/>
    <row r="408" s="7" customFormat="1" x14ac:dyDescent="0.25"/>
    <row r="409" s="7" customFormat="1" x14ac:dyDescent="0.25"/>
    <row r="410" s="7" customFormat="1" x14ac:dyDescent="0.25"/>
    <row r="411" s="7" customFormat="1" x14ac:dyDescent="0.25"/>
    <row r="412" s="7" customFormat="1" x14ac:dyDescent="0.25"/>
    <row r="413" s="7" customFormat="1" x14ac:dyDescent="0.25"/>
    <row r="414" s="7" customFormat="1" x14ac:dyDescent="0.25"/>
    <row r="415" s="7" customFormat="1" x14ac:dyDescent="0.25"/>
    <row r="416" s="7" customFormat="1" x14ac:dyDescent="0.25"/>
    <row r="417" s="7" customFormat="1" x14ac:dyDescent="0.25"/>
    <row r="418" s="7" customFormat="1" x14ac:dyDescent="0.25"/>
    <row r="419" s="7" customFormat="1" x14ac:dyDescent="0.25"/>
    <row r="420" s="7" customFormat="1" x14ac:dyDescent="0.25"/>
    <row r="421" s="7" customFormat="1" x14ac:dyDescent="0.25"/>
    <row r="422" s="7" customFormat="1" x14ac:dyDescent="0.25"/>
    <row r="423" s="7" customFormat="1" x14ac:dyDescent="0.25"/>
    <row r="424" s="7" customFormat="1" x14ac:dyDescent="0.25"/>
    <row r="425" s="7" customFormat="1" x14ac:dyDescent="0.25"/>
    <row r="426" s="7" customFormat="1" x14ac:dyDescent="0.25"/>
    <row r="427" s="7" customFormat="1" x14ac:dyDescent="0.25"/>
    <row r="428" s="7" customFormat="1" x14ac:dyDescent="0.25"/>
    <row r="429" s="7" customFormat="1" x14ac:dyDescent="0.25"/>
    <row r="430" s="7" customFormat="1" x14ac:dyDescent="0.25"/>
    <row r="431" s="7" customFormat="1" x14ac:dyDescent="0.25"/>
    <row r="432" s="7" customFormat="1" x14ac:dyDescent="0.25"/>
    <row r="433" s="7" customFormat="1" x14ac:dyDescent="0.25"/>
    <row r="434" s="7" customFormat="1" x14ac:dyDescent="0.25"/>
    <row r="435" s="7" customFormat="1" x14ac:dyDescent="0.25"/>
    <row r="436" s="7" customFormat="1" x14ac:dyDescent="0.25"/>
    <row r="437" s="7" customFormat="1" x14ac:dyDescent="0.25"/>
    <row r="438" s="7" customFormat="1" x14ac:dyDescent="0.25"/>
    <row r="439" s="7" customFormat="1" x14ac:dyDescent="0.25"/>
  </sheetData>
  <conditionalFormatting sqref="A62:AZ108">
    <cfRule type="cellIs" dxfId="11" priority="7" stopIfTrue="1" operator="equal">
      <formula>"Australian Production"</formula>
    </cfRule>
    <cfRule type="cellIs" dxfId="10" priority="8" stopIfTrue="1" operator="equal">
      <formula>"Total Supply"</formula>
    </cfRule>
    <cfRule type="cellIs" dxfId="9" priority="9" stopIfTrue="1" operator="equal">
      <formula>"Total Intermediate Use"</formula>
    </cfRule>
    <cfRule type="cellIs" dxfId="8" priority="10" stopIfTrue="1" operator="equal">
      <formula>"Total Use"</formula>
    </cfRule>
    <cfRule type="cellIs" dxfId="7" priority="11" stopIfTrue="1" operator="equal">
      <formula>"SUPPLY"</formula>
    </cfRule>
    <cfRule type="cellIs" dxfId="6" priority="12" stopIfTrue="1" operator="equal">
      <formula>"INDUSTRY"</formula>
    </cfRule>
  </conditionalFormatting>
  <conditionalFormatting sqref="A110:AZ129">
    <cfRule type="cellIs" dxfId="5" priority="1" stopIfTrue="1" operator="equal">
      <formula>"Australian Production"</formula>
    </cfRule>
    <cfRule type="cellIs" dxfId="4" priority="2" stopIfTrue="1" operator="equal">
      <formula>"Total Supply"</formula>
    </cfRule>
    <cfRule type="cellIs" dxfId="3" priority="3" stopIfTrue="1" operator="equal">
      <formula>"Total Intermediate Use"</formula>
    </cfRule>
    <cfRule type="cellIs" dxfId="2" priority="4" stopIfTrue="1" operator="equal">
      <formula>"Total Use"</formula>
    </cfRule>
    <cfRule type="cellIs" dxfId="1" priority="5" stopIfTrue="1" operator="equal">
      <formula>"SUPPLY"</formula>
    </cfRule>
    <cfRule type="cellIs" dxfId="0" priority="6" stopIfTrue="1" operator="equal">
      <formula>"INDUSTRY"</formula>
    </cfRule>
  </conditionalFormatting>
  <hyperlinks>
    <hyperlink ref="B15" r:id="rId1" display="http://www.ausstats.abs.gov.au/AUSSTATS/ABS@.NSF/Product+Lookup/1292.0~2006 (Revision 2.0)~Chapter~Class+0191++Horse+Farming"/>
    <hyperlink ref="B16" r:id="rId2" display="http://www.ausstats.abs.gov.au/AUSSTATS/ABS@.NSF/Product+Lookup/1292.0~2006 (Revision 2.0)~Chapter~Class+0191++Horse+Farming"/>
    <hyperlink ref="B17" r:id="rId3" display="http://www.ausstats.abs.gov.au/AUSSTATS/ABS@.NSF/Product+Lookup/1292.0~2006 (Revision 2.0)~Chapter~Class+0191++Horse+Farming"/>
    <hyperlink ref="B24" r:id="rId4" display="http://www.ausstats.abs.gov.au/AUSSTATS/ABS@.NSF/Product+Lookup/1292.0~2006 (Revision 2.0)~Chapter~Class+9209++Other+Gambling+Activities"/>
    <hyperlink ref="B20" r:id="rId5" display="http://www.ausstats.abs.gov.au/AUSSTATS/ABS@.NSF/Product+Lookup/1292.0~2006 (Revision 2.0)~Chapter~Class+9121++Horse+and+Dog+Racing+Administration+and+Track+Operation"/>
    <hyperlink ref="B21" r:id="rId6" display="http://www.ausstats.abs.gov.au/AUSSTATS/ABS@.NSF/Product+Lookup/1292.0~2006 (Revision 2.0)~Chapter~Class+9121++Horse+and+Dog+Racing+Administration+and+Track+Operation"/>
    <hyperlink ref="B22" r:id="rId7" display="http://www.ausstats.abs.gov.au/AUSSTATS/ABS@.NSF/Product+Lookup/1292.0~2006 (Revision 2.0)~Chapter~Class+9121++Horse+and+Dog+Racing+Administration+and+Track+Operation"/>
  </hyperlinks>
  <pageMargins left="0.7" right="0.7" top="0.75" bottom="0.75" header="0.3" footer="0.3"/>
  <drawing r:id="rId8"/>
  <legacy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V63"/>
  <sheetViews>
    <sheetView topLeftCell="A6" workbookViewId="0">
      <selection activeCell="B8" sqref="B8"/>
    </sheetView>
  </sheetViews>
  <sheetFormatPr defaultRowHeight="15" x14ac:dyDescent="0.25"/>
  <cols>
    <col min="1" max="1" width="3.5703125" style="2" customWidth="1"/>
    <col min="2" max="2" width="44.7109375" style="2" customWidth="1"/>
    <col min="3" max="16384" width="9.140625" style="2"/>
  </cols>
  <sheetData>
    <row r="7" spans="2:22" ht="20.25" x14ac:dyDescent="0.3">
      <c r="B7" s="1" t="str">
        <f>Index!B7</f>
        <v>Economic effects of fiscal support for the NSW GREYHOUND racing industry: DRAFT</v>
      </c>
    </row>
    <row r="8" spans="2:22" ht="24.75" customHeight="1" x14ac:dyDescent="0.25">
      <c r="B8" s="3" t="s">
        <v>9</v>
      </c>
    </row>
    <row r="11" spans="2:22" x14ac:dyDescent="0.25">
      <c r="B11" s="456" t="s">
        <v>366</v>
      </c>
      <c r="C11" s="457"/>
      <c r="D11" s="457"/>
      <c r="E11" s="457"/>
      <c r="F11" s="457"/>
      <c r="G11" s="457"/>
      <c r="H11" s="457"/>
      <c r="I11" s="457"/>
      <c r="J11" s="457"/>
      <c r="K11" s="457"/>
      <c r="L11" s="457"/>
    </row>
    <row r="12" spans="2:22" x14ac:dyDescent="0.25">
      <c r="B12" s="456"/>
      <c r="C12" s="464">
        <v>1</v>
      </c>
      <c r="D12" s="464">
        <v>2</v>
      </c>
      <c r="E12" s="464">
        <v>3</v>
      </c>
      <c r="F12" s="464">
        <v>4</v>
      </c>
      <c r="G12" s="464">
        <v>5</v>
      </c>
      <c r="H12" s="464">
        <v>6</v>
      </c>
      <c r="I12" s="464">
        <v>7</v>
      </c>
      <c r="J12" s="464">
        <v>8</v>
      </c>
      <c r="K12" s="464">
        <v>9</v>
      </c>
      <c r="L12" s="464">
        <v>10</v>
      </c>
      <c r="M12" s="465">
        <v>11</v>
      </c>
      <c r="N12" s="465">
        <v>12</v>
      </c>
      <c r="O12" s="465">
        <v>13</v>
      </c>
      <c r="P12" s="465">
        <v>14</v>
      </c>
      <c r="Q12" s="465">
        <v>15</v>
      </c>
      <c r="R12" s="465">
        <v>16</v>
      </c>
      <c r="S12" s="465">
        <v>17</v>
      </c>
      <c r="T12" s="465">
        <v>18</v>
      </c>
      <c r="U12" s="465">
        <v>19</v>
      </c>
      <c r="V12" s="465">
        <v>20</v>
      </c>
    </row>
    <row r="13" spans="2:22" x14ac:dyDescent="0.25">
      <c r="B13" s="482"/>
      <c r="C13" s="466" t="s">
        <v>14</v>
      </c>
      <c r="D13" s="466" t="s">
        <v>15</v>
      </c>
      <c r="E13" s="466" t="s">
        <v>16</v>
      </c>
      <c r="F13" s="466" t="s">
        <v>17</v>
      </c>
      <c r="G13" s="466" t="s">
        <v>18</v>
      </c>
      <c r="H13" s="466" t="s">
        <v>19</v>
      </c>
      <c r="I13" s="466" t="s">
        <v>20</v>
      </c>
      <c r="J13" s="466" t="s">
        <v>21</v>
      </c>
      <c r="K13" s="466" t="s">
        <v>11</v>
      </c>
      <c r="L13" s="466" t="s">
        <v>8</v>
      </c>
      <c r="M13" s="466" t="s">
        <v>22</v>
      </c>
      <c r="N13" s="466" t="s">
        <v>23</v>
      </c>
      <c r="O13" s="466" t="s">
        <v>24</v>
      </c>
      <c r="P13" s="466" t="s">
        <v>25</v>
      </c>
      <c r="Q13" s="466" t="s">
        <v>26</v>
      </c>
      <c r="R13" s="466" t="s">
        <v>27</v>
      </c>
      <c r="S13" s="466" t="s">
        <v>28</v>
      </c>
      <c r="T13" s="466" t="s">
        <v>29</v>
      </c>
      <c r="U13" s="466" t="s">
        <v>30</v>
      </c>
      <c r="V13" s="466" t="s">
        <v>31</v>
      </c>
    </row>
    <row r="14" spans="2:22" x14ac:dyDescent="0.25">
      <c r="B14" s="458"/>
      <c r="C14" s="459" t="s">
        <v>367</v>
      </c>
      <c r="D14" s="459" t="s">
        <v>367</v>
      </c>
      <c r="E14" s="459" t="s">
        <v>367</v>
      </c>
      <c r="F14" s="459" t="s">
        <v>367</v>
      </c>
      <c r="G14" s="459" t="s">
        <v>367</v>
      </c>
      <c r="H14" s="459" t="s">
        <v>367</v>
      </c>
      <c r="I14" s="459" t="s">
        <v>367</v>
      </c>
      <c r="J14" s="459" t="s">
        <v>367</v>
      </c>
      <c r="K14" s="459" t="s">
        <v>367</v>
      </c>
      <c r="L14" s="459" t="s">
        <v>367</v>
      </c>
      <c r="M14" s="465"/>
      <c r="N14" s="465"/>
      <c r="O14" s="465"/>
      <c r="P14" s="465"/>
      <c r="Q14" s="465"/>
      <c r="R14" s="465"/>
      <c r="S14" s="465"/>
      <c r="T14" s="465"/>
      <c r="U14" s="465"/>
      <c r="V14" s="465"/>
    </row>
    <row r="15" spans="2:22" x14ac:dyDescent="0.25">
      <c r="B15" s="460" t="s">
        <v>368</v>
      </c>
      <c r="C15" s="457"/>
      <c r="D15" s="457"/>
      <c r="E15" s="457"/>
      <c r="F15" s="457"/>
      <c r="G15" s="457"/>
      <c r="H15" s="457"/>
      <c r="I15" s="457"/>
      <c r="J15" s="457"/>
      <c r="K15" s="457"/>
      <c r="L15" s="457"/>
    </row>
    <row r="16" spans="2:22" x14ac:dyDescent="0.25">
      <c r="B16" s="461" t="s">
        <v>369</v>
      </c>
      <c r="C16" s="462">
        <v>4349</v>
      </c>
      <c r="D16" s="462">
        <v>4829</v>
      </c>
      <c r="E16" s="462">
        <v>5173</v>
      </c>
      <c r="F16" s="462">
        <v>5655</v>
      </c>
      <c r="G16" s="462">
        <v>6198</v>
      </c>
      <c r="H16" s="462">
        <v>6350</v>
      </c>
      <c r="I16" s="462">
        <v>6148</v>
      </c>
      <c r="J16" s="462">
        <v>6388</v>
      </c>
      <c r="K16" s="462">
        <v>6718</v>
      </c>
      <c r="L16" s="462">
        <v>6953</v>
      </c>
    </row>
    <row r="17" spans="2:12" x14ac:dyDescent="0.25">
      <c r="B17" s="460" t="s">
        <v>370</v>
      </c>
      <c r="C17" s="457"/>
      <c r="D17" s="457"/>
      <c r="E17" s="457"/>
      <c r="F17" s="457"/>
      <c r="G17" s="457"/>
      <c r="H17" s="457"/>
      <c r="I17" s="457"/>
      <c r="J17" s="457"/>
      <c r="K17" s="457"/>
      <c r="L17" s="457"/>
    </row>
    <row r="18" spans="2:12" x14ac:dyDescent="0.25">
      <c r="B18" s="461" t="s">
        <v>371</v>
      </c>
      <c r="C18" s="457"/>
      <c r="D18" s="457"/>
      <c r="E18" s="457"/>
      <c r="F18" s="457"/>
      <c r="G18" s="457"/>
      <c r="H18" s="457"/>
      <c r="I18" s="457"/>
      <c r="J18" s="457"/>
      <c r="K18" s="457"/>
      <c r="L18" s="457"/>
    </row>
    <row r="19" spans="2:12" x14ac:dyDescent="0.25">
      <c r="B19" s="463" t="s">
        <v>372</v>
      </c>
      <c r="C19" s="462">
        <v>1355</v>
      </c>
      <c r="D19" s="462">
        <v>1646</v>
      </c>
      <c r="E19" s="462">
        <v>1717</v>
      </c>
      <c r="F19" s="462">
        <v>2036</v>
      </c>
      <c r="G19" s="462">
        <v>1937</v>
      </c>
      <c r="H19" s="462">
        <v>2252</v>
      </c>
      <c r="I19" s="462">
        <v>2296</v>
      </c>
      <c r="J19" s="462">
        <v>2289</v>
      </c>
      <c r="K19" s="462">
        <v>2350</v>
      </c>
      <c r="L19" s="462">
        <v>2333</v>
      </c>
    </row>
    <row r="20" spans="2:12" x14ac:dyDescent="0.25">
      <c r="B20" s="463" t="s">
        <v>373</v>
      </c>
      <c r="C20" s="462">
        <v>2424</v>
      </c>
      <c r="D20" s="462">
        <v>2521</v>
      </c>
      <c r="E20" s="462">
        <v>2638</v>
      </c>
      <c r="F20" s="462">
        <v>2776</v>
      </c>
      <c r="G20" s="462">
        <v>2935</v>
      </c>
      <c r="H20" s="462">
        <v>3030</v>
      </c>
      <c r="I20" s="462">
        <v>3171</v>
      </c>
      <c r="J20" s="462">
        <v>3303</v>
      </c>
      <c r="K20" s="462">
        <v>3445</v>
      </c>
      <c r="L20" s="462">
        <v>3624</v>
      </c>
    </row>
    <row r="21" spans="2:12" x14ac:dyDescent="0.25">
      <c r="B21" s="463" t="s">
        <v>135</v>
      </c>
      <c r="C21" s="462">
        <v>59</v>
      </c>
      <c r="D21" s="462">
        <v>58</v>
      </c>
      <c r="E21" s="462">
        <v>61</v>
      </c>
      <c r="F21" s="462">
        <v>72</v>
      </c>
      <c r="G21" s="462">
        <v>83</v>
      </c>
      <c r="H21" s="462">
        <v>85</v>
      </c>
      <c r="I21" s="462">
        <v>120</v>
      </c>
      <c r="J21" s="462">
        <v>111</v>
      </c>
      <c r="K21" s="462">
        <v>120</v>
      </c>
      <c r="L21" s="462">
        <v>116</v>
      </c>
    </row>
    <row r="22" spans="2:12" x14ac:dyDescent="0.25">
      <c r="B22" s="463" t="s">
        <v>33</v>
      </c>
      <c r="C22" s="462">
        <v>3838</v>
      </c>
      <c r="D22" s="462">
        <v>4225</v>
      </c>
      <c r="E22" s="462">
        <v>4415</v>
      </c>
      <c r="F22" s="462">
        <v>4884</v>
      </c>
      <c r="G22" s="462">
        <v>4956</v>
      </c>
      <c r="H22" s="462">
        <v>5368</v>
      </c>
      <c r="I22" s="462">
        <v>5587</v>
      </c>
      <c r="J22" s="462">
        <v>5703</v>
      </c>
      <c r="K22" s="462">
        <v>5915</v>
      </c>
      <c r="L22" s="462">
        <v>6072</v>
      </c>
    </row>
    <row r="23" spans="2:12" x14ac:dyDescent="0.25">
      <c r="B23" s="461" t="s">
        <v>374</v>
      </c>
      <c r="C23" s="457"/>
      <c r="D23" s="457"/>
      <c r="E23" s="457"/>
      <c r="F23" s="457"/>
      <c r="G23" s="457"/>
      <c r="H23" s="457"/>
      <c r="I23" s="457"/>
      <c r="J23" s="457"/>
      <c r="K23" s="457"/>
      <c r="L23" s="457"/>
    </row>
    <row r="24" spans="2:12" x14ac:dyDescent="0.25">
      <c r="B24" s="463" t="s">
        <v>375</v>
      </c>
      <c r="C24" s="462">
        <v>1</v>
      </c>
      <c r="D24" s="462">
        <v>0</v>
      </c>
      <c r="E24" s="462">
        <v>0</v>
      </c>
      <c r="F24" s="462">
        <v>0</v>
      </c>
      <c r="G24" s="462">
        <v>0</v>
      </c>
      <c r="H24" s="462">
        <v>0</v>
      </c>
      <c r="I24" s="462">
        <v>0</v>
      </c>
      <c r="J24" s="462">
        <v>0</v>
      </c>
      <c r="K24" s="462">
        <v>0</v>
      </c>
      <c r="L24" s="462">
        <v>0</v>
      </c>
    </row>
    <row r="25" spans="2:12" x14ac:dyDescent="0.25">
      <c r="B25" s="463" t="s">
        <v>376</v>
      </c>
      <c r="C25" s="462">
        <v>139</v>
      </c>
      <c r="D25" s="462">
        <v>110</v>
      </c>
      <c r="E25" s="462">
        <v>106</v>
      </c>
      <c r="F25" s="462">
        <v>97</v>
      </c>
      <c r="G25" s="462">
        <v>105</v>
      </c>
      <c r="H25" s="462">
        <v>179</v>
      </c>
      <c r="I25" s="462">
        <v>439</v>
      </c>
      <c r="J25" s="462">
        <v>427</v>
      </c>
      <c r="K25" s="462">
        <v>499</v>
      </c>
      <c r="L25" s="462">
        <v>515</v>
      </c>
    </row>
    <row r="26" spans="2:12" x14ac:dyDescent="0.25">
      <c r="B26" s="463" t="s">
        <v>377</v>
      </c>
      <c r="C26" s="462">
        <v>3918</v>
      </c>
      <c r="D26" s="462">
        <v>3282</v>
      </c>
      <c r="E26" s="462">
        <v>3237</v>
      </c>
      <c r="F26" s="462">
        <v>4166</v>
      </c>
      <c r="G26" s="462">
        <v>3938</v>
      </c>
      <c r="H26" s="462">
        <v>2736</v>
      </c>
      <c r="I26" s="462">
        <v>3739</v>
      </c>
      <c r="J26" s="462">
        <v>4045</v>
      </c>
      <c r="K26" s="462">
        <v>3764</v>
      </c>
      <c r="L26" s="462">
        <v>4568</v>
      </c>
    </row>
    <row r="27" spans="2:12" x14ac:dyDescent="0.25">
      <c r="B27" s="463" t="s">
        <v>378</v>
      </c>
      <c r="C27" s="462">
        <v>580</v>
      </c>
      <c r="D27" s="462">
        <v>531</v>
      </c>
      <c r="E27" s="462">
        <v>518</v>
      </c>
      <c r="F27" s="462">
        <v>632</v>
      </c>
      <c r="G27" s="462">
        <v>387</v>
      </c>
      <c r="H27" s="462">
        <v>187</v>
      </c>
      <c r="I27" s="462">
        <v>172</v>
      </c>
      <c r="J27" s="462">
        <v>186</v>
      </c>
      <c r="K27" s="462">
        <v>190</v>
      </c>
      <c r="L27" s="462">
        <v>186</v>
      </c>
    </row>
    <row r="28" spans="2:12" x14ac:dyDescent="0.25">
      <c r="B28" s="463" t="s">
        <v>33</v>
      </c>
      <c r="C28" s="462">
        <v>4639</v>
      </c>
      <c r="D28" s="462">
        <v>3923</v>
      </c>
      <c r="E28" s="462">
        <v>3861</v>
      </c>
      <c r="F28" s="462">
        <v>4895</v>
      </c>
      <c r="G28" s="462">
        <v>4430</v>
      </c>
      <c r="H28" s="462">
        <v>3101</v>
      </c>
      <c r="I28" s="462">
        <v>4350</v>
      </c>
      <c r="J28" s="462">
        <v>4657</v>
      </c>
      <c r="K28" s="462">
        <v>4452</v>
      </c>
      <c r="L28" s="462">
        <v>5269</v>
      </c>
    </row>
    <row r="29" spans="2:12" x14ac:dyDescent="0.25">
      <c r="B29" s="461" t="s">
        <v>33</v>
      </c>
      <c r="C29" s="462">
        <v>8476</v>
      </c>
      <c r="D29" s="462">
        <v>8148</v>
      </c>
      <c r="E29" s="462">
        <v>8277</v>
      </c>
      <c r="F29" s="462">
        <v>9779</v>
      </c>
      <c r="G29" s="462">
        <v>9386</v>
      </c>
      <c r="H29" s="462">
        <v>8469</v>
      </c>
      <c r="I29" s="462">
        <v>9937</v>
      </c>
      <c r="J29" s="462">
        <v>10360</v>
      </c>
      <c r="K29" s="462">
        <v>10367</v>
      </c>
      <c r="L29" s="462">
        <v>11341</v>
      </c>
    </row>
    <row r="30" spans="2:12" x14ac:dyDescent="0.25">
      <c r="B30" s="460" t="s">
        <v>379</v>
      </c>
      <c r="C30" s="457"/>
      <c r="D30" s="457"/>
      <c r="E30" s="457"/>
      <c r="F30" s="457"/>
      <c r="G30" s="457"/>
      <c r="H30" s="457"/>
      <c r="I30" s="457"/>
      <c r="J30" s="457"/>
      <c r="K30" s="457"/>
      <c r="L30" s="457"/>
    </row>
    <row r="31" spans="2:12" x14ac:dyDescent="0.25">
      <c r="B31" s="461" t="s">
        <v>380</v>
      </c>
      <c r="C31" s="462">
        <v>0</v>
      </c>
      <c r="D31" s="462">
        <v>0</v>
      </c>
      <c r="E31" s="462">
        <v>0</v>
      </c>
      <c r="F31" s="462">
        <v>0</v>
      </c>
      <c r="G31" s="462">
        <v>0</v>
      </c>
      <c r="H31" s="462">
        <v>0</v>
      </c>
      <c r="I31" s="462">
        <v>0</v>
      </c>
      <c r="J31" s="462">
        <v>0</v>
      </c>
      <c r="K31" s="462">
        <v>0</v>
      </c>
      <c r="L31" s="462">
        <v>0</v>
      </c>
    </row>
    <row r="32" spans="2:12" x14ac:dyDescent="0.25">
      <c r="B32" s="461" t="s">
        <v>381</v>
      </c>
      <c r="C32" s="462">
        <v>0</v>
      </c>
      <c r="D32" s="462">
        <v>0</v>
      </c>
      <c r="E32" s="462">
        <v>0</v>
      </c>
      <c r="F32" s="462">
        <v>0</v>
      </c>
      <c r="G32" s="462">
        <v>0</v>
      </c>
      <c r="H32" s="462">
        <v>0</v>
      </c>
      <c r="I32" s="462">
        <v>0</v>
      </c>
      <c r="J32" s="462">
        <v>0</v>
      </c>
      <c r="K32" s="462">
        <v>0</v>
      </c>
      <c r="L32" s="462">
        <v>0</v>
      </c>
    </row>
    <row r="33" spans="2:12" x14ac:dyDescent="0.25">
      <c r="B33" s="461" t="s">
        <v>33</v>
      </c>
      <c r="C33" s="462">
        <v>0</v>
      </c>
      <c r="D33" s="462">
        <v>0</v>
      </c>
      <c r="E33" s="462">
        <v>0</v>
      </c>
      <c r="F33" s="462">
        <v>0</v>
      </c>
      <c r="G33" s="462">
        <v>0</v>
      </c>
      <c r="H33" s="462">
        <v>0</v>
      </c>
      <c r="I33" s="462">
        <v>0</v>
      </c>
      <c r="J33" s="462">
        <v>0</v>
      </c>
      <c r="K33" s="462">
        <v>0</v>
      </c>
      <c r="L33" s="462">
        <v>0</v>
      </c>
    </row>
    <row r="34" spans="2:12" x14ac:dyDescent="0.25">
      <c r="B34" s="461" t="s">
        <v>382</v>
      </c>
      <c r="C34" s="457"/>
      <c r="D34" s="457"/>
      <c r="E34" s="457"/>
      <c r="F34" s="457"/>
      <c r="G34" s="457"/>
      <c r="H34" s="457"/>
      <c r="I34" s="457"/>
      <c r="J34" s="457"/>
      <c r="K34" s="457"/>
      <c r="L34" s="457"/>
    </row>
    <row r="35" spans="2:12" x14ac:dyDescent="0.25">
      <c r="B35" s="463" t="s">
        <v>383</v>
      </c>
      <c r="C35" s="462">
        <v>280</v>
      </c>
      <c r="D35" s="462">
        <v>282</v>
      </c>
      <c r="E35" s="462">
        <v>286</v>
      </c>
      <c r="F35" s="462">
        <v>284</v>
      </c>
      <c r="G35" s="462">
        <v>306</v>
      </c>
      <c r="H35" s="462">
        <v>335</v>
      </c>
      <c r="I35" s="462">
        <v>349</v>
      </c>
      <c r="J35" s="462">
        <v>307</v>
      </c>
      <c r="K35" s="462">
        <v>335</v>
      </c>
      <c r="L35" s="462">
        <v>351</v>
      </c>
    </row>
    <row r="36" spans="2:12" x14ac:dyDescent="0.25">
      <c r="B36" s="463" t="s">
        <v>384</v>
      </c>
      <c r="C36" s="462">
        <v>7</v>
      </c>
      <c r="D36" s="462">
        <v>8</v>
      </c>
      <c r="E36" s="462">
        <v>8</v>
      </c>
      <c r="F36" s="462">
        <v>8</v>
      </c>
      <c r="G36" s="462">
        <v>8</v>
      </c>
      <c r="H36" s="462">
        <v>10</v>
      </c>
      <c r="I36" s="462">
        <v>11</v>
      </c>
      <c r="J36" s="462">
        <v>12</v>
      </c>
      <c r="K36" s="462">
        <v>13</v>
      </c>
      <c r="L36" s="462">
        <v>13</v>
      </c>
    </row>
    <row r="37" spans="2:12" x14ac:dyDescent="0.25">
      <c r="B37" s="463" t="s">
        <v>385</v>
      </c>
      <c r="C37" s="462">
        <v>793</v>
      </c>
      <c r="D37" s="462">
        <v>895</v>
      </c>
      <c r="E37" s="462">
        <v>986</v>
      </c>
      <c r="F37" s="462">
        <v>1109</v>
      </c>
      <c r="G37" s="462">
        <v>1017</v>
      </c>
      <c r="H37" s="462">
        <v>1046</v>
      </c>
      <c r="I37" s="462">
        <v>1066</v>
      </c>
      <c r="J37" s="462">
        <v>1132</v>
      </c>
      <c r="K37" s="462">
        <v>1150</v>
      </c>
      <c r="L37" s="462">
        <v>1177</v>
      </c>
    </row>
    <row r="38" spans="2:12" x14ac:dyDescent="0.25">
      <c r="B38" s="463" t="s">
        <v>386</v>
      </c>
      <c r="C38" s="462">
        <v>81</v>
      </c>
      <c r="D38" s="462">
        <v>89</v>
      </c>
      <c r="E38" s="462">
        <v>93</v>
      </c>
      <c r="F38" s="462">
        <v>99</v>
      </c>
      <c r="G38" s="462">
        <v>97</v>
      </c>
      <c r="H38" s="462">
        <v>101</v>
      </c>
      <c r="I38" s="462">
        <v>116</v>
      </c>
      <c r="J38" s="462">
        <v>140</v>
      </c>
      <c r="K38" s="462">
        <v>158</v>
      </c>
      <c r="L38" s="462">
        <v>175</v>
      </c>
    </row>
    <row r="39" spans="2:12" x14ac:dyDescent="0.25">
      <c r="B39" s="463" t="s">
        <v>387</v>
      </c>
      <c r="C39" s="462">
        <v>147</v>
      </c>
      <c r="D39" s="462">
        <v>153</v>
      </c>
      <c r="E39" s="462">
        <v>146</v>
      </c>
      <c r="F39" s="462">
        <v>147</v>
      </c>
      <c r="G39" s="462">
        <v>142</v>
      </c>
      <c r="H39" s="462">
        <v>152</v>
      </c>
      <c r="I39" s="462">
        <v>156</v>
      </c>
      <c r="J39" s="462">
        <v>153</v>
      </c>
      <c r="K39" s="462">
        <v>147</v>
      </c>
      <c r="L39" s="462">
        <v>145</v>
      </c>
    </row>
    <row r="40" spans="2:12" x14ac:dyDescent="0.25">
      <c r="B40" s="463" t="s">
        <v>388</v>
      </c>
      <c r="C40" s="462">
        <v>4</v>
      </c>
      <c r="D40" s="462">
        <v>4</v>
      </c>
      <c r="E40" s="462">
        <v>5</v>
      </c>
      <c r="F40" s="462">
        <v>7</v>
      </c>
      <c r="G40" s="462">
        <v>6</v>
      </c>
      <c r="H40" s="462">
        <v>8</v>
      </c>
      <c r="I40" s="462">
        <v>9</v>
      </c>
      <c r="J40" s="462">
        <v>12</v>
      </c>
      <c r="K40" s="462">
        <v>11</v>
      </c>
      <c r="L40" s="462">
        <v>12</v>
      </c>
    </row>
    <row r="41" spans="2:12" x14ac:dyDescent="0.25">
      <c r="B41" s="463" t="s">
        <v>33</v>
      </c>
      <c r="C41" s="462">
        <v>1312</v>
      </c>
      <c r="D41" s="462">
        <v>1430</v>
      </c>
      <c r="E41" s="462">
        <v>1522</v>
      </c>
      <c r="F41" s="462">
        <v>1653</v>
      </c>
      <c r="G41" s="462">
        <v>1576</v>
      </c>
      <c r="H41" s="462">
        <v>1652</v>
      </c>
      <c r="I41" s="462">
        <v>1706</v>
      </c>
      <c r="J41" s="462">
        <v>1757</v>
      </c>
      <c r="K41" s="462">
        <v>1815</v>
      </c>
      <c r="L41" s="462">
        <v>1873</v>
      </c>
    </row>
    <row r="42" spans="2:12" x14ac:dyDescent="0.25">
      <c r="B42" s="461" t="s">
        <v>389</v>
      </c>
      <c r="C42" s="457"/>
      <c r="D42" s="457"/>
      <c r="E42" s="457"/>
      <c r="F42" s="457"/>
      <c r="G42" s="457"/>
      <c r="H42" s="457"/>
      <c r="I42" s="457"/>
      <c r="J42" s="457"/>
      <c r="K42" s="457"/>
      <c r="L42" s="457"/>
    </row>
    <row r="43" spans="2:12" x14ac:dyDescent="0.25">
      <c r="B43" s="463" t="s">
        <v>390</v>
      </c>
      <c r="C43" s="462">
        <v>378</v>
      </c>
      <c r="D43" s="462">
        <v>416</v>
      </c>
      <c r="E43" s="462">
        <v>454</v>
      </c>
      <c r="F43" s="462">
        <v>479</v>
      </c>
      <c r="G43" s="462">
        <v>521</v>
      </c>
      <c r="H43" s="462">
        <v>575</v>
      </c>
      <c r="I43" s="462">
        <v>554</v>
      </c>
      <c r="J43" s="462">
        <v>672</v>
      </c>
      <c r="K43" s="462">
        <v>710</v>
      </c>
      <c r="L43" s="462">
        <v>691</v>
      </c>
    </row>
    <row r="44" spans="2:12" x14ac:dyDescent="0.25">
      <c r="B44" s="463" t="s">
        <v>391</v>
      </c>
      <c r="C44" s="462">
        <v>23</v>
      </c>
      <c r="D44" s="462">
        <v>37</v>
      </c>
      <c r="E44" s="462">
        <v>36</v>
      </c>
      <c r="F44" s="462">
        <v>79</v>
      </c>
      <c r="G44" s="462">
        <v>116</v>
      </c>
      <c r="H44" s="462">
        <v>128</v>
      </c>
      <c r="I44" s="462">
        <v>135</v>
      </c>
      <c r="J44" s="462">
        <v>133</v>
      </c>
      <c r="K44" s="462">
        <v>142</v>
      </c>
      <c r="L44" s="462">
        <v>157</v>
      </c>
    </row>
    <row r="45" spans="2:12" x14ac:dyDescent="0.25">
      <c r="B45" s="463" t="s">
        <v>392</v>
      </c>
      <c r="C45" s="462">
        <v>812</v>
      </c>
      <c r="D45" s="462">
        <v>992</v>
      </c>
      <c r="E45" s="462">
        <v>903</v>
      </c>
      <c r="F45" s="462">
        <v>857</v>
      </c>
      <c r="G45" s="462">
        <v>1209</v>
      </c>
      <c r="H45" s="462">
        <v>1215</v>
      </c>
      <c r="I45" s="462">
        <v>1073</v>
      </c>
      <c r="J45" s="462">
        <v>1229</v>
      </c>
      <c r="K45" s="462">
        <v>1201</v>
      </c>
      <c r="L45" s="462">
        <v>1181</v>
      </c>
    </row>
    <row r="46" spans="2:12" x14ac:dyDescent="0.25">
      <c r="B46" s="463" t="s">
        <v>33</v>
      </c>
      <c r="C46" s="462">
        <v>1214</v>
      </c>
      <c r="D46" s="462">
        <v>1445</v>
      </c>
      <c r="E46" s="462">
        <v>1393</v>
      </c>
      <c r="F46" s="462">
        <v>1414</v>
      </c>
      <c r="G46" s="462">
        <v>1846</v>
      </c>
      <c r="H46" s="462">
        <v>1919</v>
      </c>
      <c r="I46" s="462">
        <v>1761</v>
      </c>
      <c r="J46" s="462">
        <v>2035</v>
      </c>
      <c r="K46" s="462">
        <v>2053</v>
      </c>
      <c r="L46" s="462">
        <v>2029</v>
      </c>
    </row>
    <row r="47" spans="2:12" x14ac:dyDescent="0.25">
      <c r="B47" s="461" t="s">
        <v>33</v>
      </c>
      <c r="C47" s="462">
        <v>2526</v>
      </c>
      <c r="D47" s="462">
        <v>2875</v>
      </c>
      <c r="E47" s="462">
        <v>2916</v>
      </c>
      <c r="F47" s="462">
        <v>3067</v>
      </c>
      <c r="G47" s="462">
        <v>3422</v>
      </c>
      <c r="H47" s="462">
        <v>3571</v>
      </c>
      <c r="I47" s="462">
        <v>3467</v>
      </c>
      <c r="J47" s="462">
        <v>3791</v>
      </c>
      <c r="K47" s="462">
        <v>3868</v>
      </c>
      <c r="L47" s="462">
        <v>3902</v>
      </c>
    </row>
    <row r="48" spans="2:12" x14ac:dyDescent="0.25">
      <c r="B48" s="460" t="s">
        <v>393</v>
      </c>
      <c r="C48" s="457"/>
      <c r="D48" s="457"/>
      <c r="E48" s="457"/>
      <c r="F48" s="457"/>
      <c r="G48" s="457"/>
      <c r="H48" s="457"/>
      <c r="I48" s="457"/>
      <c r="J48" s="457"/>
      <c r="K48" s="457"/>
      <c r="L48" s="457"/>
    </row>
    <row r="49" spans="2:22" x14ac:dyDescent="0.25">
      <c r="B49" s="461" t="s">
        <v>394</v>
      </c>
      <c r="C49" s="457"/>
      <c r="D49" s="457"/>
      <c r="E49" s="457"/>
      <c r="F49" s="457"/>
      <c r="G49" s="457"/>
      <c r="H49" s="457"/>
      <c r="I49" s="457"/>
      <c r="J49" s="457"/>
      <c r="K49" s="457"/>
      <c r="L49" s="457"/>
    </row>
    <row r="50" spans="2:22" x14ac:dyDescent="0.25">
      <c r="B50" s="463" t="s">
        <v>395</v>
      </c>
      <c r="C50" s="462">
        <v>581</v>
      </c>
      <c r="D50" s="462">
        <v>570</v>
      </c>
      <c r="E50" s="462">
        <v>548</v>
      </c>
      <c r="F50" s="462">
        <v>554</v>
      </c>
      <c r="G50" s="462">
        <v>600</v>
      </c>
      <c r="H50" s="462">
        <v>537</v>
      </c>
      <c r="I50" s="462">
        <v>587</v>
      </c>
      <c r="J50" s="462">
        <v>589</v>
      </c>
      <c r="K50" s="462">
        <v>595</v>
      </c>
      <c r="L50" s="462">
        <v>636</v>
      </c>
    </row>
    <row r="51" spans="2:22" x14ac:dyDescent="0.25">
      <c r="B51" s="463" t="s">
        <v>135</v>
      </c>
      <c r="C51" s="462">
        <v>1212</v>
      </c>
      <c r="D51" s="462">
        <v>1282</v>
      </c>
      <c r="E51" s="462">
        <v>1351</v>
      </c>
      <c r="F51" s="462">
        <v>1427</v>
      </c>
      <c r="G51" s="462">
        <v>1513</v>
      </c>
      <c r="H51" s="462">
        <v>1565</v>
      </c>
      <c r="I51" s="462">
        <v>1668</v>
      </c>
      <c r="J51" s="462">
        <v>1855</v>
      </c>
      <c r="K51" s="462">
        <v>1962</v>
      </c>
      <c r="L51" s="462">
        <v>2093</v>
      </c>
    </row>
    <row r="52" spans="2:22" x14ac:dyDescent="0.25">
      <c r="B52" s="463" t="s">
        <v>33</v>
      </c>
      <c r="C52" s="462">
        <v>1793</v>
      </c>
      <c r="D52" s="462">
        <v>1852</v>
      </c>
      <c r="E52" s="462">
        <v>1899</v>
      </c>
      <c r="F52" s="462">
        <v>1980</v>
      </c>
      <c r="G52" s="462">
        <v>2113</v>
      </c>
      <c r="H52" s="462">
        <v>2102</v>
      </c>
      <c r="I52" s="462">
        <v>2255</v>
      </c>
      <c r="J52" s="462">
        <v>2444</v>
      </c>
      <c r="K52" s="462">
        <v>2558</v>
      </c>
      <c r="L52" s="462">
        <v>2728</v>
      </c>
    </row>
    <row r="53" spans="2:22" x14ac:dyDescent="0.25">
      <c r="B53" s="461" t="s">
        <v>396</v>
      </c>
      <c r="C53" s="457"/>
      <c r="D53" s="457"/>
      <c r="E53" s="457"/>
      <c r="F53" s="457"/>
      <c r="G53" s="457"/>
      <c r="H53" s="457"/>
      <c r="I53" s="457"/>
      <c r="J53" s="457"/>
      <c r="K53" s="457"/>
      <c r="L53" s="457"/>
    </row>
    <row r="54" spans="2:22" x14ac:dyDescent="0.25">
      <c r="B54" s="463" t="s">
        <v>397</v>
      </c>
      <c r="C54" s="462">
        <v>3</v>
      </c>
      <c r="D54" s="462">
        <v>2</v>
      </c>
      <c r="E54" s="462">
        <v>2</v>
      </c>
      <c r="F54" s="462">
        <v>5</v>
      </c>
      <c r="G54" s="462">
        <v>0</v>
      </c>
      <c r="H54" s="462">
        <v>2</v>
      </c>
      <c r="I54" s="462">
        <v>3</v>
      </c>
      <c r="J54" s="462">
        <v>0</v>
      </c>
      <c r="K54" s="462">
        <v>1</v>
      </c>
      <c r="L54" s="462">
        <v>1</v>
      </c>
    </row>
    <row r="55" spans="2:22" x14ac:dyDescent="0.25">
      <c r="B55" s="463" t="s">
        <v>398</v>
      </c>
      <c r="C55" s="462">
        <v>0</v>
      </c>
      <c r="D55" s="462">
        <v>0</v>
      </c>
      <c r="E55" s="462">
        <v>0</v>
      </c>
      <c r="F55" s="462">
        <v>0</v>
      </c>
      <c r="G55" s="462">
        <v>0</v>
      </c>
      <c r="H55" s="462">
        <v>0</v>
      </c>
      <c r="I55" s="462">
        <v>0</v>
      </c>
      <c r="J55" s="462">
        <v>0</v>
      </c>
      <c r="K55" s="462">
        <v>0</v>
      </c>
      <c r="L55" s="462">
        <v>0</v>
      </c>
    </row>
    <row r="56" spans="2:22" x14ac:dyDescent="0.25">
      <c r="B56" s="463" t="s">
        <v>399</v>
      </c>
      <c r="C56" s="462">
        <v>0</v>
      </c>
      <c r="D56" s="462">
        <v>0</v>
      </c>
      <c r="E56" s="462">
        <v>0</v>
      </c>
      <c r="F56" s="462">
        <v>0</v>
      </c>
      <c r="G56" s="462">
        <v>0</v>
      </c>
      <c r="H56" s="462">
        <v>0</v>
      </c>
      <c r="I56" s="462">
        <v>0</v>
      </c>
      <c r="J56" s="462">
        <v>0</v>
      </c>
      <c r="K56" s="462">
        <v>0</v>
      </c>
      <c r="L56" s="462">
        <v>0</v>
      </c>
    </row>
    <row r="57" spans="2:22" x14ac:dyDescent="0.25">
      <c r="B57" s="463" t="s">
        <v>400</v>
      </c>
      <c r="C57" s="462">
        <v>3</v>
      </c>
      <c r="D57" s="462">
        <v>3</v>
      </c>
      <c r="E57" s="462">
        <v>3</v>
      </c>
      <c r="F57" s="462">
        <v>3</v>
      </c>
      <c r="G57" s="462">
        <v>2</v>
      </c>
      <c r="H57" s="462">
        <v>1</v>
      </c>
      <c r="I57" s="462">
        <v>1</v>
      </c>
      <c r="J57" s="462">
        <v>1</v>
      </c>
      <c r="K57" s="462">
        <v>1</v>
      </c>
      <c r="L57" s="462">
        <v>1</v>
      </c>
    </row>
    <row r="58" spans="2:22" x14ac:dyDescent="0.25">
      <c r="B58" s="463" t="s">
        <v>33</v>
      </c>
      <c r="C58" s="462">
        <v>5</v>
      </c>
      <c r="D58" s="462">
        <v>5</v>
      </c>
      <c r="E58" s="462">
        <v>5</v>
      </c>
      <c r="F58" s="462">
        <v>8</v>
      </c>
      <c r="G58" s="462">
        <v>3</v>
      </c>
      <c r="H58" s="462">
        <v>4</v>
      </c>
      <c r="I58" s="462">
        <v>4</v>
      </c>
      <c r="J58" s="462">
        <v>1</v>
      </c>
      <c r="K58" s="462">
        <v>2</v>
      </c>
      <c r="L58" s="462">
        <v>3</v>
      </c>
    </row>
    <row r="59" spans="2:22" x14ac:dyDescent="0.25">
      <c r="B59" s="461" t="s">
        <v>135</v>
      </c>
      <c r="C59" s="462">
        <v>325</v>
      </c>
      <c r="D59" s="462">
        <v>209</v>
      </c>
      <c r="E59" s="462">
        <v>417</v>
      </c>
      <c r="F59" s="462">
        <v>95</v>
      </c>
      <c r="G59" s="462">
        <v>424</v>
      </c>
      <c r="H59" s="462">
        <v>420</v>
      </c>
      <c r="I59" s="462">
        <v>560</v>
      </c>
      <c r="J59" s="462">
        <v>792</v>
      </c>
      <c r="K59" s="462">
        <v>600</v>
      </c>
      <c r="L59" s="462">
        <v>682</v>
      </c>
    </row>
    <row r="60" spans="2:22" x14ac:dyDescent="0.25">
      <c r="B60" s="461" t="s">
        <v>33</v>
      </c>
      <c r="C60" s="462">
        <v>2123</v>
      </c>
      <c r="D60" s="462">
        <v>2066</v>
      </c>
      <c r="E60" s="462">
        <v>2321</v>
      </c>
      <c r="F60" s="462">
        <v>2084</v>
      </c>
      <c r="G60" s="462">
        <v>2539</v>
      </c>
      <c r="H60" s="462">
        <v>2526</v>
      </c>
      <c r="I60" s="462">
        <v>2819</v>
      </c>
      <c r="J60" s="462">
        <v>3237</v>
      </c>
      <c r="K60" s="462">
        <v>3160</v>
      </c>
      <c r="L60" s="462">
        <v>3412</v>
      </c>
    </row>
    <row r="61" spans="2:22" x14ac:dyDescent="0.25">
      <c r="B61" s="460" t="s">
        <v>33</v>
      </c>
      <c r="C61" s="462">
        <v>17475</v>
      </c>
      <c r="D61" s="462">
        <v>17918</v>
      </c>
      <c r="E61" s="462">
        <v>18687</v>
      </c>
      <c r="F61" s="462">
        <v>20584</v>
      </c>
      <c r="G61" s="462">
        <v>21545</v>
      </c>
      <c r="H61" s="462">
        <v>20917</v>
      </c>
      <c r="I61" s="462">
        <v>22371</v>
      </c>
      <c r="J61" s="462">
        <v>23777</v>
      </c>
      <c r="K61" s="462">
        <v>24113</v>
      </c>
      <c r="L61" s="462">
        <v>25609</v>
      </c>
      <c r="M61" s="462">
        <f>16408+889.42*M12</f>
        <v>26191.62</v>
      </c>
      <c r="N61" s="462">
        <f>16408+889.42*N12</f>
        <v>27081.040000000001</v>
      </c>
      <c r="O61" s="462">
        <f t="shared" ref="O61:U61" si="0">16408+889.42*O12</f>
        <v>27970.46</v>
      </c>
      <c r="P61" s="462">
        <f t="shared" si="0"/>
        <v>28859.879999999997</v>
      </c>
      <c r="Q61" s="462">
        <f t="shared" si="0"/>
        <v>29749.3</v>
      </c>
      <c r="R61" s="462">
        <f t="shared" si="0"/>
        <v>30638.720000000001</v>
      </c>
      <c r="S61" s="462">
        <f t="shared" si="0"/>
        <v>31528.14</v>
      </c>
      <c r="T61" s="462">
        <f t="shared" si="0"/>
        <v>32417.559999999998</v>
      </c>
      <c r="U61" s="462">
        <f t="shared" si="0"/>
        <v>33306.979999999996</v>
      </c>
      <c r="V61" s="462">
        <f>16408+889.42*V12</f>
        <v>34196.399999999994</v>
      </c>
    </row>
    <row r="62" spans="2:22" x14ac:dyDescent="0.25">
      <c r="B62" s="460" t="s">
        <v>401</v>
      </c>
      <c r="C62" s="462">
        <v>896</v>
      </c>
      <c r="D62" s="462">
        <v>698</v>
      </c>
      <c r="E62" s="462">
        <v>801</v>
      </c>
      <c r="F62" s="462">
        <v>519</v>
      </c>
      <c r="G62" s="462">
        <v>888</v>
      </c>
      <c r="H62" s="462">
        <v>1053</v>
      </c>
      <c r="I62" s="462">
        <v>1250</v>
      </c>
      <c r="J62" s="462">
        <v>1246</v>
      </c>
      <c r="K62" s="462">
        <v>955</v>
      </c>
      <c r="L62" s="462">
        <v>1033</v>
      </c>
    </row>
    <row r="63" spans="2:22" x14ac:dyDescent="0.25">
      <c r="B63" s="460" t="s">
        <v>402</v>
      </c>
      <c r="C63" s="462">
        <v>109</v>
      </c>
      <c r="D63" s="462">
        <v>126</v>
      </c>
      <c r="E63" s="462">
        <v>133</v>
      </c>
      <c r="F63" s="462">
        <v>139</v>
      </c>
      <c r="G63" s="462">
        <v>155</v>
      </c>
      <c r="H63" s="462">
        <v>166</v>
      </c>
      <c r="I63" s="462">
        <v>183</v>
      </c>
      <c r="J63" s="462">
        <v>188</v>
      </c>
      <c r="K63" s="462">
        <v>205</v>
      </c>
      <c r="L63" s="462">
        <v>205</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7:X175"/>
  <sheetViews>
    <sheetView workbookViewId="0">
      <selection activeCell="B8" sqref="B8"/>
    </sheetView>
  </sheetViews>
  <sheetFormatPr defaultRowHeight="15" x14ac:dyDescent="0.25"/>
  <cols>
    <col min="1" max="1" width="3.5703125" style="2" customWidth="1"/>
    <col min="2" max="2" width="20.7109375" style="2" customWidth="1"/>
    <col min="3" max="3" width="16" style="2" bestFit="1" customWidth="1"/>
    <col min="4" max="4" width="17.85546875" style="2" customWidth="1"/>
    <col min="5" max="5" width="14" style="2" bestFit="1" customWidth="1"/>
    <col min="6" max="8" width="12.85546875" style="2" bestFit="1" customWidth="1"/>
    <col min="9" max="10" width="11.85546875" style="2" bestFit="1" customWidth="1"/>
    <col min="11" max="11" width="14.28515625" style="2" customWidth="1"/>
    <col min="12" max="16384" width="9.140625" style="2"/>
  </cols>
  <sheetData>
    <row r="7" spans="2:12" ht="20.25" x14ac:dyDescent="0.3">
      <c r="B7" s="1" t="str">
        <f>Index!B7</f>
        <v>Economic effects of fiscal support for the NSW GREYHOUND racing industry: DRAFT</v>
      </c>
    </row>
    <row r="8" spans="2:12" ht="18" x14ac:dyDescent="0.25">
      <c r="B8" s="3" t="s">
        <v>10</v>
      </c>
    </row>
    <row r="11" spans="2:12" x14ac:dyDescent="0.25">
      <c r="B11" s="14"/>
    </row>
    <row r="12" spans="2:12" x14ac:dyDescent="0.25">
      <c r="B12" s="54" t="s">
        <v>86</v>
      </c>
      <c r="C12" s="7"/>
      <c r="D12" s="7"/>
      <c r="E12" s="7"/>
      <c r="F12" s="7"/>
      <c r="G12" s="7"/>
      <c r="H12" s="7"/>
      <c r="I12" s="7"/>
      <c r="J12" s="7"/>
      <c r="K12" s="7"/>
      <c r="L12" s="7"/>
    </row>
    <row r="13" spans="2:12" x14ac:dyDescent="0.25">
      <c r="B13" s="43"/>
      <c r="C13" s="80" t="s">
        <v>51</v>
      </c>
      <c r="D13" s="80" t="s">
        <v>52</v>
      </c>
      <c r="E13" s="80" t="s">
        <v>53</v>
      </c>
      <c r="F13" s="80" t="s">
        <v>54</v>
      </c>
      <c r="G13" s="80" t="s">
        <v>55</v>
      </c>
      <c r="H13" s="80" t="s">
        <v>56</v>
      </c>
      <c r="I13" s="80" t="s">
        <v>57</v>
      </c>
      <c r="J13" s="80" t="s">
        <v>58</v>
      </c>
      <c r="K13" s="80" t="s">
        <v>59</v>
      </c>
      <c r="L13" s="7"/>
    </row>
    <row r="14" spans="2:12" x14ac:dyDescent="0.25">
      <c r="B14" s="20" t="s">
        <v>60</v>
      </c>
      <c r="C14" s="81">
        <v>127</v>
      </c>
      <c r="D14" s="81">
        <v>69</v>
      </c>
      <c r="E14" s="81">
        <v>121</v>
      </c>
      <c r="F14" s="81">
        <v>25</v>
      </c>
      <c r="G14" s="81">
        <v>36</v>
      </c>
      <c r="H14" s="81">
        <v>4</v>
      </c>
      <c r="I14" s="81">
        <v>5</v>
      </c>
      <c r="J14" s="81">
        <v>2</v>
      </c>
      <c r="K14" s="81">
        <v>389</v>
      </c>
      <c r="L14" s="7"/>
    </row>
    <row r="15" spans="2:12" x14ac:dyDescent="0.25">
      <c r="B15" s="20" t="s">
        <v>61</v>
      </c>
      <c r="C15" s="81">
        <v>120</v>
      </c>
      <c r="D15" s="81">
        <v>68</v>
      </c>
      <c r="E15" s="81">
        <v>106</v>
      </c>
      <c r="F15" s="81">
        <v>24</v>
      </c>
      <c r="G15" s="81">
        <v>36</v>
      </c>
      <c r="H15" s="81">
        <v>6</v>
      </c>
      <c r="I15" s="81">
        <v>5</v>
      </c>
      <c r="J15" s="81">
        <v>2</v>
      </c>
      <c r="K15" s="81">
        <v>367</v>
      </c>
      <c r="L15" s="7"/>
    </row>
    <row r="16" spans="2:12" x14ac:dyDescent="0.25">
      <c r="B16" s="20" t="s">
        <v>62</v>
      </c>
      <c r="C16" s="81">
        <v>759</v>
      </c>
      <c r="D16" s="81">
        <v>566</v>
      </c>
      <c r="E16" s="81">
        <v>736</v>
      </c>
      <c r="F16" s="81">
        <v>202</v>
      </c>
      <c r="G16" s="81">
        <v>295</v>
      </c>
      <c r="H16" s="81">
        <v>78</v>
      </c>
      <c r="I16" s="81">
        <v>79</v>
      </c>
      <c r="J16" s="81">
        <v>27</v>
      </c>
      <c r="K16" s="81">
        <v>2742</v>
      </c>
      <c r="L16" s="7"/>
    </row>
    <row r="17" spans="2:12" x14ac:dyDescent="0.25">
      <c r="B17" s="20" t="s">
        <v>63</v>
      </c>
      <c r="C17" s="81">
        <v>5420</v>
      </c>
      <c r="D17" s="81">
        <v>4358</v>
      </c>
      <c r="E17" s="81">
        <v>4801</v>
      </c>
      <c r="F17" s="81">
        <v>1449</v>
      </c>
      <c r="G17" s="81">
        <v>2263</v>
      </c>
      <c r="H17" s="81">
        <v>622</v>
      </c>
      <c r="I17" s="81">
        <v>436</v>
      </c>
      <c r="J17" s="81">
        <v>185</v>
      </c>
      <c r="K17" s="81">
        <v>19534</v>
      </c>
      <c r="L17" s="7"/>
    </row>
    <row r="18" spans="2:12" x14ac:dyDescent="0.25">
      <c r="B18" s="20" t="s">
        <v>64</v>
      </c>
      <c r="C18" s="81">
        <v>0</v>
      </c>
      <c r="D18" s="81">
        <v>70</v>
      </c>
      <c r="E18" s="81">
        <v>0</v>
      </c>
      <c r="F18" s="81">
        <v>22</v>
      </c>
      <c r="G18" s="81">
        <v>0</v>
      </c>
      <c r="H18" s="81">
        <v>0</v>
      </c>
      <c r="I18" s="81">
        <v>0</v>
      </c>
      <c r="J18" s="81">
        <v>0</v>
      </c>
      <c r="K18" s="81">
        <v>92</v>
      </c>
      <c r="L18" s="7"/>
    </row>
    <row r="19" spans="2:12" x14ac:dyDescent="0.25">
      <c r="B19" s="20" t="s">
        <v>65</v>
      </c>
      <c r="C19" s="81">
        <v>5420</v>
      </c>
      <c r="D19" s="81">
        <v>4428</v>
      </c>
      <c r="E19" s="81">
        <v>4801</v>
      </c>
      <c r="F19" s="81">
        <v>1471</v>
      </c>
      <c r="G19" s="81">
        <v>2263</v>
      </c>
      <c r="H19" s="81">
        <v>622</v>
      </c>
      <c r="I19" s="81">
        <v>436</v>
      </c>
      <c r="J19" s="81">
        <v>185</v>
      </c>
      <c r="K19" s="81">
        <v>19626</v>
      </c>
      <c r="L19" s="7"/>
    </row>
    <row r="20" spans="2:12" x14ac:dyDescent="0.25">
      <c r="B20" s="20" t="s">
        <v>66</v>
      </c>
      <c r="C20" s="81">
        <v>9849</v>
      </c>
      <c r="D20" s="81">
        <v>8855</v>
      </c>
      <c r="E20" s="81">
        <v>7336</v>
      </c>
      <c r="F20" s="81">
        <v>2935</v>
      </c>
      <c r="G20" s="81">
        <v>4053</v>
      </c>
      <c r="H20" s="81">
        <v>1065</v>
      </c>
      <c r="I20" s="81">
        <v>662</v>
      </c>
      <c r="J20" s="81">
        <v>1022</v>
      </c>
      <c r="K20" s="81">
        <v>30371</v>
      </c>
      <c r="L20" s="7"/>
    </row>
    <row r="21" spans="2:12" x14ac:dyDescent="0.25">
      <c r="B21" s="20" t="s">
        <v>67</v>
      </c>
      <c r="C21" s="81">
        <v>0</v>
      </c>
      <c r="D21" s="81">
        <v>189</v>
      </c>
      <c r="E21" s="81">
        <v>0</v>
      </c>
      <c r="F21" s="81">
        <v>81</v>
      </c>
      <c r="G21" s="81">
        <v>0</v>
      </c>
      <c r="H21" s="81">
        <v>0</v>
      </c>
      <c r="I21" s="81">
        <v>0</v>
      </c>
      <c r="J21" s="81">
        <v>0</v>
      </c>
      <c r="K21" s="81">
        <v>217</v>
      </c>
      <c r="L21" s="7"/>
    </row>
    <row r="22" spans="2:12" x14ac:dyDescent="0.25">
      <c r="B22" s="20" t="s">
        <v>68</v>
      </c>
      <c r="C22" s="81">
        <v>9849</v>
      </c>
      <c r="D22" s="81">
        <v>9044</v>
      </c>
      <c r="E22" s="81">
        <v>7336</v>
      </c>
      <c r="F22" s="81">
        <v>3016</v>
      </c>
      <c r="G22" s="81">
        <v>4053</v>
      </c>
      <c r="H22" s="81">
        <v>1065</v>
      </c>
      <c r="I22" s="81">
        <v>662</v>
      </c>
      <c r="J22" s="81">
        <v>1022</v>
      </c>
      <c r="K22" s="81">
        <v>30489</v>
      </c>
      <c r="L22" s="7"/>
    </row>
    <row r="23" spans="2:12" x14ac:dyDescent="0.25">
      <c r="B23" s="20" t="s">
        <v>69</v>
      </c>
      <c r="C23" s="81">
        <v>54447</v>
      </c>
      <c r="D23" s="81">
        <v>42561</v>
      </c>
      <c r="E23" s="81">
        <v>42116</v>
      </c>
      <c r="F23" s="81">
        <v>13693</v>
      </c>
      <c r="G23" s="81">
        <v>23450</v>
      </c>
      <c r="H23" s="81">
        <v>5905</v>
      </c>
      <c r="I23" s="81">
        <v>3459</v>
      </c>
      <c r="J23" s="81">
        <v>1985</v>
      </c>
      <c r="K23" s="81">
        <v>187616</v>
      </c>
      <c r="L23" s="7"/>
    </row>
    <row r="24" spans="2:12" x14ac:dyDescent="0.25">
      <c r="B24" s="20" t="s">
        <v>70</v>
      </c>
      <c r="C24" s="81">
        <v>0</v>
      </c>
      <c r="D24" s="81">
        <v>550</v>
      </c>
      <c r="E24" s="81">
        <v>0</v>
      </c>
      <c r="F24" s="81">
        <v>160</v>
      </c>
      <c r="G24" s="81">
        <v>0</v>
      </c>
      <c r="H24" s="81">
        <v>0</v>
      </c>
      <c r="I24" s="81">
        <v>0</v>
      </c>
      <c r="J24" s="81">
        <v>0</v>
      </c>
      <c r="K24" s="81">
        <v>710</v>
      </c>
      <c r="L24" s="7"/>
    </row>
    <row r="25" spans="2:12" x14ac:dyDescent="0.25">
      <c r="B25" s="20" t="s">
        <v>71</v>
      </c>
      <c r="C25" s="81">
        <v>54447</v>
      </c>
      <c r="D25" s="81">
        <v>42721</v>
      </c>
      <c r="E25" s="81">
        <v>42116</v>
      </c>
      <c r="F25" s="81">
        <v>14243</v>
      </c>
      <c r="G25" s="81">
        <v>23450</v>
      </c>
      <c r="H25" s="81">
        <v>5905</v>
      </c>
      <c r="I25" s="81">
        <v>3459</v>
      </c>
      <c r="J25" s="81">
        <v>1985</v>
      </c>
      <c r="K25" s="81">
        <v>188326</v>
      </c>
      <c r="L25" s="7"/>
    </row>
    <row r="26" spans="2:12" x14ac:dyDescent="0.25">
      <c r="B26" s="80" t="s">
        <v>72</v>
      </c>
      <c r="C26" s="83">
        <v>149057063</v>
      </c>
      <c r="D26" s="83">
        <v>159251661</v>
      </c>
      <c r="E26" s="83">
        <v>79993070</v>
      </c>
      <c r="F26" s="83">
        <v>29788700</v>
      </c>
      <c r="G26" s="83">
        <v>50494580</v>
      </c>
      <c r="H26" s="83">
        <v>9872900</v>
      </c>
      <c r="I26" s="83">
        <v>6683100</v>
      </c>
      <c r="J26" s="83">
        <v>3568000</v>
      </c>
      <c r="K26" s="83">
        <v>488709074</v>
      </c>
      <c r="L26" s="7"/>
    </row>
    <row r="27" spans="2:12" x14ac:dyDescent="0.25">
      <c r="B27" s="20" t="s">
        <v>73</v>
      </c>
      <c r="C27" s="81">
        <v>10773224</v>
      </c>
      <c r="D27" s="81">
        <v>6185550</v>
      </c>
      <c r="E27" s="81">
        <v>5617706</v>
      </c>
      <c r="F27" s="81">
        <v>1463600</v>
      </c>
      <c r="G27" s="81">
        <v>4683253</v>
      </c>
      <c r="H27" s="81">
        <v>309361</v>
      </c>
      <c r="I27" s="81">
        <v>310000</v>
      </c>
      <c r="J27" s="81">
        <v>225000</v>
      </c>
      <c r="K27" s="81">
        <v>29567694</v>
      </c>
      <c r="L27" s="7"/>
    </row>
    <row r="28" spans="2:12" x14ac:dyDescent="0.25">
      <c r="B28" s="20" t="s">
        <v>74</v>
      </c>
      <c r="C28" s="81">
        <v>15471276</v>
      </c>
      <c r="D28" s="81">
        <v>15900000</v>
      </c>
      <c r="E28" s="81">
        <v>25614185</v>
      </c>
      <c r="F28" s="81">
        <v>1853330</v>
      </c>
      <c r="G28" s="81">
        <v>5071435</v>
      </c>
      <c r="H28" s="81">
        <v>1830509</v>
      </c>
      <c r="I28" s="81">
        <v>826980</v>
      </c>
      <c r="J28" s="81">
        <v>47915</v>
      </c>
      <c r="K28" s="81">
        <v>66615630</v>
      </c>
      <c r="L28" s="7"/>
    </row>
    <row r="29" spans="2:12" x14ac:dyDescent="0.25">
      <c r="B29" s="20" t="s">
        <v>75</v>
      </c>
      <c r="C29" s="81">
        <v>175301563</v>
      </c>
      <c r="D29" s="81">
        <v>181337211</v>
      </c>
      <c r="E29" s="81">
        <v>110612878</v>
      </c>
      <c r="F29" s="81">
        <v>33105630</v>
      </c>
      <c r="G29" s="81">
        <v>60249268</v>
      </c>
      <c r="H29" s="81">
        <v>12012770</v>
      </c>
      <c r="I29" s="81">
        <v>7787080</v>
      </c>
      <c r="J29" s="81">
        <v>3302305</v>
      </c>
      <c r="K29" s="81">
        <v>583708705</v>
      </c>
      <c r="L29" s="7"/>
    </row>
    <row r="30" spans="2:12" x14ac:dyDescent="0.25">
      <c r="B30" s="20" t="s">
        <v>76</v>
      </c>
      <c r="C30" s="81">
        <v>5691200</v>
      </c>
      <c r="D30" s="81">
        <v>9791475</v>
      </c>
      <c r="E30" s="81">
        <v>8528348</v>
      </c>
      <c r="F30" s="81">
        <v>2033950</v>
      </c>
      <c r="G30" s="81">
        <v>2294175</v>
      </c>
      <c r="H30" s="81">
        <v>763587</v>
      </c>
      <c r="I30" s="81">
        <v>903688</v>
      </c>
      <c r="J30" s="81">
        <v>202173</v>
      </c>
      <c r="K30" s="81">
        <v>30208596</v>
      </c>
      <c r="L30" s="7"/>
    </row>
    <row r="31" spans="2:12" x14ac:dyDescent="0.25">
      <c r="B31" s="80" t="s">
        <v>77</v>
      </c>
      <c r="C31" s="83">
        <v>169610363</v>
      </c>
      <c r="D31" s="83">
        <v>171545736</v>
      </c>
      <c r="E31" s="83">
        <v>102084530</v>
      </c>
      <c r="F31" s="83">
        <v>31071680</v>
      </c>
      <c r="G31" s="83">
        <v>57955093</v>
      </c>
      <c r="H31" s="83">
        <v>11249183</v>
      </c>
      <c r="I31" s="83">
        <v>6883392</v>
      </c>
      <c r="J31" s="83">
        <v>3100132</v>
      </c>
      <c r="K31" s="83">
        <v>553500109</v>
      </c>
      <c r="L31" s="7"/>
    </row>
    <row r="32" spans="2:12" x14ac:dyDescent="0.25">
      <c r="B32" s="20" t="s">
        <v>78</v>
      </c>
      <c r="C32" s="81">
        <v>169</v>
      </c>
      <c r="D32" s="81">
        <v>178</v>
      </c>
      <c r="E32" s="81">
        <v>75</v>
      </c>
      <c r="F32" s="81">
        <v>11</v>
      </c>
      <c r="G32" s="81" t="s">
        <v>79</v>
      </c>
      <c r="H32" s="81" t="s">
        <v>79</v>
      </c>
      <c r="I32" s="81">
        <v>38</v>
      </c>
      <c r="J32" s="81">
        <v>7</v>
      </c>
      <c r="K32" s="81"/>
      <c r="L32" s="7"/>
    </row>
    <row r="33" spans="2:12" x14ac:dyDescent="0.25">
      <c r="B33" s="20" t="s">
        <v>80</v>
      </c>
      <c r="C33" s="81">
        <v>1019</v>
      </c>
      <c r="D33" s="81">
        <v>914</v>
      </c>
      <c r="E33" s="81">
        <v>885</v>
      </c>
      <c r="F33" s="81">
        <v>304</v>
      </c>
      <c r="G33" s="81">
        <v>611</v>
      </c>
      <c r="H33" s="81">
        <v>111</v>
      </c>
      <c r="I33" s="81">
        <v>47</v>
      </c>
      <c r="J33" s="81" t="s">
        <v>81</v>
      </c>
      <c r="K33" s="81">
        <v>3891</v>
      </c>
      <c r="L33" s="7"/>
    </row>
    <row r="34" spans="2:12" x14ac:dyDescent="0.25">
      <c r="B34" s="20" t="s">
        <v>82</v>
      </c>
      <c r="C34" s="81">
        <v>136</v>
      </c>
      <c r="D34" s="81">
        <v>133</v>
      </c>
      <c r="E34" s="81">
        <v>174</v>
      </c>
      <c r="F34" s="81">
        <v>41</v>
      </c>
      <c r="G34" s="81">
        <v>55</v>
      </c>
      <c r="H34" s="81">
        <v>23</v>
      </c>
      <c r="I34" s="81">
        <v>23</v>
      </c>
      <c r="J34" s="81" t="s">
        <v>81</v>
      </c>
      <c r="K34" s="81">
        <v>585</v>
      </c>
      <c r="L34" s="7"/>
    </row>
    <row r="35" spans="2:12" x14ac:dyDescent="0.25">
      <c r="B35" s="20" t="s">
        <v>83</v>
      </c>
      <c r="C35" s="81">
        <v>95</v>
      </c>
      <c r="D35" s="81">
        <v>42</v>
      </c>
      <c r="E35" s="81">
        <v>65</v>
      </c>
      <c r="F35" s="81">
        <v>21</v>
      </c>
      <c r="G35" s="81">
        <v>45</v>
      </c>
      <c r="H35" s="81">
        <v>11</v>
      </c>
      <c r="I35" s="81">
        <v>8</v>
      </c>
      <c r="J35" s="81" t="s">
        <v>81</v>
      </c>
      <c r="K35" s="81">
        <v>287</v>
      </c>
      <c r="L35" s="7"/>
    </row>
    <row r="36" spans="2:12" x14ac:dyDescent="0.25">
      <c r="B36" s="20" t="s">
        <v>84</v>
      </c>
      <c r="C36" s="81">
        <v>29</v>
      </c>
      <c r="D36" s="81">
        <v>36</v>
      </c>
      <c r="E36" s="81">
        <v>15</v>
      </c>
      <c r="F36" s="81">
        <v>0</v>
      </c>
      <c r="G36" s="81">
        <v>37</v>
      </c>
      <c r="H36" s="81">
        <v>0</v>
      </c>
      <c r="I36" s="81">
        <v>0</v>
      </c>
      <c r="J36" s="81" t="s">
        <v>81</v>
      </c>
      <c r="K36" s="81">
        <v>117</v>
      </c>
      <c r="L36" s="7"/>
    </row>
    <row r="37" spans="2:12" x14ac:dyDescent="0.25">
      <c r="B37" s="79" t="s">
        <v>85</v>
      </c>
      <c r="C37" s="82">
        <v>260</v>
      </c>
      <c r="D37" s="82">
        <v>211</v>
      </c>
      <c r="E37" s="82">
        <v>254</v>
      </c>
      <c r="F37" s="82">
        <v>62</v>
      </c>
      <c r="G37" s="82">
        <v>137</v>
      </c>
      <c r="H37" s="82">
        <v>34</v>
      </c>
      <c r="I37" s="82">
        <v>31</v>
      </c>
      <c r="J37" s="82" t="s">
        <v>81</v>
      </c>
      <c r="K37" s="82">
        <v>989</v>
      </c>
      <c r="L37" s="7"/>
    </row>
    <row r="38" spans="2:12" x14ac:dyDescent="0.25">
      <c r="B38" s="84" t="s">
        <v>100</v>
      </c>
      <c r="C38" s="117">
        <f>C31/$K$31</f>
        <v>0.30643239313255494</v>
      </c>
      <c r="D38" s="117">
        <f t="shared" ref="D38:K38" si="0">D31/$K$31</f>
        <v>0.30992900129672785</v>
      </c>
      <c r="E38" s="117">
        <f t="shared" si="0"/>
        <v>0.18443452555851259</v>
      </c>
      <c r="F38" s="117">
        <f t="shared" si="0"/>
        <v>5.6136718845704869E-2</v>
      </c>
      <c r="G38" s="117">
        <f t="shared" si="0"/>
        <v>0.10470656113276393</v>
      </c>
      <c r="H38" s="117">
        <f t="shared" si="0"/>
        <v>2.0323723188282156E-2</v>
      </c>
      <c r="I38" s="117">
        <f t="shared" si="0"/>
        <v>1.2436116792164895E-2</v>
      </c>
      <c r="J38" s="117">
        <f t="shared" si="0"/>
        <v>5.600960053288806E-3</v>
      </c>
      <c r="K38" s="85">
        <f t="shared" si="0"/>
        <v>1</v>
      </c>
      <c r="L38" s="7"/>
    </row>
    <row r="39" spans="2:12" x14ac:dyDescent="0.25">
      <c r="B39" s="46" t="s">
        <v>87</v>
      </c>
      <c r="C39" s="7"/>
      <c r="D39" s="7"/>
      <c r="E39" s="7"/>
      <c r="F39" s="7"/>
      <c r="G39" s="7"/>
      <c r="H39" s="7"/>
      <c r="I39" s="7"/>
      <c r="J39" s="7"/>
      <c r="K39" s="7"/>
      <c r="L39" s="7"/>
    </row>
    <row r="40" spans="2:12" x14ac:dyDescent="0.25">
      <c r="B40" s="7"/>
      <c r="C40" s="7"/>
      <c r="D40" s="7"/>
      <c r="E40" s="7"/>
      <c r="F40" s="7"/>
      <c r="G40" s="7"/>
      <c r="H40" s="7"/>
      <c r="I40" s="7"/>
      <c r="J40" s="7"/>
      <c r="K40" s="7"/>
      <c r="L40" s="7"/>
    </row>
    <row r="41" spans="2:12" x14ac:dyDescent="0.25">
      <c r="B41" s="7"/>
      <c r="C41" s="7"/>
      <c r="D41" s="7"/>
      <c r="E41" s="7"/>
      <c r="F41" s="7"/>
      <c r="G41" s="7"/>
      <c r="H41" s="7"/>
      <c r="I41" s="7"/>
      <c r="J41" s="7"/>
      <c r="K41" s="7"/>
      <c r="L41" s="7"/>
    </row>
    <row r="42" spans="2:12" x14ac:dyDescent="0.25">
      <c r="B42" s="14" t="s">
        <v>114</v>
      </c>
    </row>
    <row r="43" spans="2:12" x14ac:dyDescent="0.25">
      <c r="B43" s="80"/>
      <c r="C43" s="83" t="s">
        <v>51</v>
      </c>
      <c r="D43" s="83" t="s">
        <v>52</v>
      </c>
      <c r="E43" s="83" t="s">
        <v>53</v>
      </c>
      <c r="F43" s="83" t="s">
        <v>54</v>
      </c>
      <c r="G43" s="83" t="s">
        <v>55</v>
      </c>
      <c r="H43" s="83" t="s">
        <v>56</v>
      </c>
      <c r="I43" s="83" t="s">
        <v>58</v>
      </c>
      <c r="J43" s="83" t="s">
        <v>57</v>
      </c>
      <c r="K43" s="83" t="s">
        <v>33</v>
      </c>
      <c r="L43" s="20"/>
    </row>
    <row r="44" spans="2:12" x14ac:dyDescent="0.25">
      <c r="B44" s="20" t="s">
        <v>88</v>
      </c>
      <c r="C44" s="81">
        <v>283.87</v>
      </c>
      <c r="D44" s="81">
        <v>335.2</v>
      </c>
      <c r="E44" s="81">
        <v>50.67</v>
      </c>
      <c r="F44" s="81">
        <v>16.07</v>
      </c>
      <c r="G44" s="81">
        <v>54.17</v>
      </c>
      <c r="H44" s="81">
        <v>3.29</v>
      </c>
      <c r="I44" s="81">
        <v>2.4700000000000002</v>
      </c>
      <c r="J44" s="81">
        <v>12.9</v>
      </c>
      <c r="K44" s="81">
        <v>758.64</v>
      </c>
      <c r="L44" s="20"/>
    </row>
    <row r="45" spans="2:12" x14ac:dyDescent="0.25">
      <c r="B45" s="20" t="s">
        <v>89</v>
      </c>
      <c r="C45" s="81">
        <v>1749.67</v>
      </c>
      <c r="D45" s="81">
        <v>1291.54</v>
      </c>
      <c r="E45" s="81">
        <v>759.84</v>
      </c>
      <c r="F45" s="81">
        <v>264.01</v>
      </c>
      <c r="G45" s="81">
        <v>614.91</v>
      </c>
      <c r="H45" s="81">
        <v>75.66</v>
      </c>
      <c r="I45" s="81">
        <v>64.09</v>
      </c>
      <c r="J45" s="81">
        <v>50.49</v>
      </c>
      <c r="K45" s="81">
        <v>4870.21</v>
      </c>
      <c r="L45" s="20"/>
    </row>
    <row r="46" spans="2:12" x14ac:dyDescent="0.25">
      <c r="B46" s="20" t="s">
        <v>90</v>
      </c>
      <c r="C46" s="81">
        <v>141.53</v>
      </c>
      <c r="D46" s="81">
        <v>201.2</v>
      </c>
      <c r="E46" s="81">
        <v>129.75</v>
      </c>
      <c r="F46" s="81">
        <v>25.97</v>
      </c>
      <c r="G46" s="81">
        <v>37.17</v>
      </c>
      <c r="H46" s="81">
        <v>9.4600000000000009</v>
      </c>
      <c r="I46" s="81">
        <v>3.81</v>
      </c>
      <c r="J46" s="81">
        <v>4.43</v>
      </c>
      <c r="K46" s="81">
        <v>553.32000000000005</v>
      </c>
      <c r="L46" s="20"/>
    </row>
    <row r="47" spans="2:12" x14ac:dyDescent="0.25">
      <c r="B47" s="20" t="s">
        <v>91</v>
      </c>
      <c r="C47" s="81">
        <v>452.54</v>
      </c>
      <c r="D47" s="81">
        <v>433.58</v>
      </c>
      <c r="E47" s="81">
        <v>159.63</v>
      </c>
      <c r="F47" s="81">
        <v>29.86</v>
      </c>
      <c r="G47" s="81">
        <v>244.01</v>
      </c>
      <c r="H47" s="81">
        <v>35.82</v>
      </c>
      <c r="I47" s="81">
        <v>36.61</v>
      </c>
      <c r="J47" s="81">
        <v>11.86</v>
      </c>
      <c r="K47" s="81">
        <v>1403.91</v>
      </c>
      <c r="L47" s="20"/>
    </row>
    <row r="48" spans="2:12" x14ac:dyDescent="0.25">
      <c r="B48" s="20" t="s">
        <v>92</v>
      </c>
      <c r="C48" s="81">
        <v>2343.7399999999998</v>
      </c>
      <c r="D48" s="81">
        <v>1926.31</v>
      </c>
      <c r="E48" s="81">
        <v>1049.21</v>
      </c>
      <c r="F48" s="81">
        <v>319.85000000000002</v>
      </c>
      <c r="G48" s="81">
        <v>896.08</v>
      </c>
      <c r="H48" s="81">
        <v>120.94</v>
      </c>
      <c r="I48" s="81">
        <v>104.51</v>
      </c>
      <c r="J48" s="81">
        <v>66.78</v>
      </c>
      <c r="K48" s="81">
        <v>6827.42</v>
      </c>
      <c r="L48" s="20"/>
    </row>
    <row r="49" spans="2:12" x14ac:dyDescent="0.25">
      <c r="B49" s="92" t="s">
        <v>93</v>
      </c>
      <c r="C49" s="93">
        <v>2627.61</v>
      </c>
      <c r="D49" s="93">
        <v>2261.5100000000002</v>
      </c>
      <c r="E49" s="93">
        <v>1099.8800000000001</v>
      </c>
      <c r="F49" s="93">
        <v>335.92</v>
      </c>
      <c r="G49" s="93">
        <v>950.25</v>
      </c>
      <c r="H49" s="93">
        <v>124.23</v>
      </c>
      <c r="I49" s="93">
        <v>106.98</v>
      </c>
      <c r="J49" s="93">
        <v>79.67</v>
      </c>
      <c r="K49" s="93">
        <v>7586.05</v>
      </c>
      <c r="L49" s="20"/>
    </row>
    <row r="50" spans="2:12" x14ac:dyDescent="0.25">
      <c r="B50" s="92" t="s">
        <v>94</v>
      </c>
      <c r="C50" s="93">
        <v>765.09</v>
      </c>
      <c r="D50" s="93">
        <v>531.61</v>
      </c>
      <c r="E50" s="93">
        <v>591.99</v>
      </c>
      <c r="F50" s="93">
        <v>142.69</v>
      </c>
      <c r="G50" s="93">
        <v>83</v>
      </c>
      <c r="H50" s="93">
        <v>46.44</v>
      </c>
      <c r="I50" s="93">
        <v>6.93</v>
      </c>
      <c r="J50" s="93">
        <v>59.63</v>
      </c>
      <c r="K50" s="93">
        <v>2227.38</v>
      </c>
      <c r="L50" s="20"/>
    </row>
    <row r="51" spans="2:12" x14ac:dyDescent="0.25">
      <c r="B51" s="20" t="s">
        <v>95</v>
      </c>
      <c r="C51" s="81">
        <v>3392.7</v>
      </c>
      <c r="D51" s="81">
        <v>2793.12</v>
      </c>
      <c r="E51" s="81">
        <v>1691.87</v>
      </c>
      <c r="F51" s="81">
        <v>478.61</v>
      </c>
      <c r="G51" s="81">
        <v>1033.26</v>
      </c>
      <c r="H51" s="81">
        <v>170.67</v>
      </c>
      <c r="I51" s="81">
        <v>113.91</v>
      </c>
      <c r="J51" s="81">
        <v>139.30000000000001</v>
      </c>
      <c r="K51" s="81">
        <v>9813.44</v>
      </c>
      <c r="L51" s="20"/>
    </row>
    <row r="52" spans="2:12" x14ac:dyDescent="0.25">
      <c r="B52" s="20" t="s">
        <v>96</v>
      </c>
      <c r="C52" s="81">
        <v>126.69</v>
      </c>
      <c r="D52" s="81">
        <v>153.47999999999999</v>
      </c>
      <c r="E52" s="81">
        <v>63.65</v>
      </c>
      <c r="F52" s="81">
        <v>1.19</v>
      </c>
      <c r="G52" s="81">
        <v>29.78</v>
      </c>
      <c r="H52" s="81">
        <v>1.04</v>
      </c>
      <c r="I52" s="81">
        <v>6.24</v>
      </c>
      <c r="J52" s="81">
        <v>4.7</v>
      </c>
      <c r="K52" s="81">
        <v>386.77</v>
      </c>
      <c r="L52" s="20"/>
    </row>
    <row r="53" spans="2:12" x14ac:dyDescent="0.25">
      <c r="B53" s="20" t="s">
        <v>90</v>
      </c>
      <c r="C53" s="81">
        <v>119.34</v>
      </c>
      <c r="D53" s="81">
        <v>204.05</v>
      </c>
      <c r="E53" s="81">
        <v>21.94</v>
      </c>
      <c r="F53" s="81">
        <v>10.19</v>
      </c>
      <c r="G53" s="81">
        <v>7.3</v>
      </c>
      <c r="H53" s="81">
        <v>0</v>
      </c>
      <c r="I53" s="81">
        <v>0.31</v>
      </c>
      <c r="J53" s="81">
        <v>847.97</v>
      </c>
      <c r="K53" s="81">
        <v>1211.0999999999999</v>
      </c>
      <c r="L53" s="20"/>
    </row>
    <row r="54" spans="2:12" x14ac:dyDescent="0.25">
      <c r="B54" s="20" t="s">
        <v>91</v>
      </c>
      <c r="C54" s="81">
        <v>189.91</v>
      </c>
      <c r="D54" s="81">
        <v>15.7</v>
      </c>
      <c r="E54" s="81">
        <v>0</v>
      </c>
      <c r="F54" s="81">
        <v>0</v>
      </c>
      <c r="G54" s="81">
        <v>3.75</v>
      </c>
      <c r="H54" s="81">
        <v>0</v>
      </c>
      <c r="I54" s="81">
        <v>2.15</v>
      </c>
      <c r="J54" s="81">
        <v>2838.84</v>
      </c>
      <c r="K54" s="81">
        <v>3050.35</v>
      </c>
      <c r="L54" s="20"/>
    </row>
    <row r="55" spans="2:12" x14ac:dyDescent="0.25">
      <c r="B55" s="20" t="s">
        <v>92</v>
      </c>
      <c r="C55" s="81">
        <v>309.25</v>
      </c>
      <c r="D55" s="81">
        <v>219.75</v>
      </c>
      <c r="E55" s="81">
        <v>21.94</v>
      </c>
      <c r="F55" s="81">
        <v>10.19</v>
      </c>
      <c r="G55" s="81">
        <v>11.05</v>
      </c>
      <c r="H55" s="81">
        <v>0</v>
      </c>
      <c r="I55" s="81">
        <v>2.46</v>
      </c>
      <c r="J55" s="81">
        <v>3686.81</v>
      </c>
      <c r="K55" s="81">
        <v>4261.45</v>
      </c>
      <c r="L55" s="20"/>
    </row>
    <row r="56" spans="2:12" x14ac:dyDescent="0.25">
      <c r="B56" s="92" t="s">
        <v>97</v>
      </c>
      <c r="C56" s="93">
        <v>435.93</v>
      </c>
      <c r="D56" s="93">
        <v>373.23</v>
      </c>
      <c r="E56" s="93">
        <v>85.59</v>
      </c>
      <c r="F56" s="93">
        <v>11.38</v>
      </c>
      <c r="G56" s="93">
        <v>40.83</v>
      </c>
      <c r="H56" s="93">
        <v>1.04</v>
      </c>
      <c r="I56" s="93">
        <v>8.6999999999999993</v>
      </c>
      <c r="J56" s="93">
        <v>3691.51</v>
      </c>
      <c r="K56" s="93">
        <v>4648.21</v>
      </c>
      <c r="L56" s="20"/>
    </row>
    <row r="57" spans="2:12" x14ac:dyDescent="0.25">
      <c r="B57" s="79" t="s">
        <v>98</v>
      </c>
      <c r="C57" s="82">
        <v>3828.63</v>
      </c>
      <c r="D57" s="82">
        <v>3166.35</v>
      </c>
      <c r="E57" s="82">
        <v>1777.46</v>
      </c>
      <c r="F57" s="82">
        <v>489.99</v>
      </c>
      <c r="G57" s="82">
        <v>1074.0899999999999</v>
      </c>
      <c r="H57" s="82">
        <v>171.71</v>
      </c>
      <c r="I57" s="82">
        <v>122.61</v>
      </c>
      <c r="J57" s="82">
        <v>3830.81</v>
      </c>
      <c r="K57" s="82">
        <v>14461.65</v>
      </c>
      <c r="L57" s="20"/>
    </row>
    <row r="58" spans="2:12" x14ac:dyDescent="0.25">
      <c r="B58" s="84" t="s">
        <v>99</v>
      </c>
      <c r="C58" s="116">
        <f>(C49+C50)/SUM($K$49,$K$50)</f>
        <v>0.34572009990390723</v>
      </c>
      <c r="D58" s="116">
        <f t="shared" ref="D58:K58" si="1">(D49+D50)/SUM($K$49,$K$50)</f>
        <v>0.28462219631668034</v>
      </c>
      <c r="E58" s="116">
        <f t="shared" si="1"/>
        <v>0.17240353270976611</v>
      </c>
      <c r="F58" s="116">
        <f t="shared" si="1"/>
        <v>4.8770919036463294E-2</v>
      </c>
      <c r="G58" s="116">
        <f t="shared" si="1"/>
        <v>0.10528938403799691</v>
      </c>
      <c r="H58" s="116">
        <f t="shared" si="1"/>
        <v>1.7391472706281087E-2</v>
      </c>
      <c r="I58" s="116">
        <f t="shared" si="1"/>
        <v>1.160756228963777E-2</v>
      </c>
      <c r="J58" s="116">
        <f t="shared" si="1"/>
        <v>1.4194832999267331E-2</v>
      </c>
      <c r="K58" s="116">
        <f t="shared" si="1"/>
        <v>1</v>
      </c>
      <c r="L58" s="20"/>
    </row>
    <row r="59" spans="2:12" x14ac:dyDescent="0.25">
      <c r="B59" s="46" t="s">
        <v>87</v>
      </c>
      <c r="C59" s="152">
        <f>C51/C57</f>
        <v>0.88613942846396743</v>
      </c>
      <c r="D59" s="152">
        <f t="shared" ref="D59:K59" si="2">D51/D57</f>
        <v>0.8821261073475769</v>
      </c>
      <c r="E59" s="152">
        <f t="shared" si="2"/>
        <v>0.9518470176544056</v>
      </c>
      <c r="F59" s="152">
        <f t="shared" si="2"/>
        <v>0.9767750362252291</v>
      </c>
      <c r="G59" s="152">
        <f t="shared" si="2"/>
        <v>0.96198642571851523</v>
      </c>
      <c r="H59" s="152">
        <f t="shared" si="2"/>
        <v>0.9939432764544871</v>
      </c>
      <c r="I59" s="152">
        <f t="shared" si="2"/>
        <v>0.92904330804991431</v>
      </c>
      <c r="J59" s="152">
        <f t="shared" si="2"/>
        <v>3.636306681876679E-2</v>
      </c>
      <c r="K59" s="152">
        <f t="shared" si="2"/>
        <v>0.67858370241293353</v>
      </c>
      <c r="L59" s="20"/>
    </row>
    <row r="60" spans="2:12" x14ac:dyDescent="0.25">
      <c r="B60" s="20"/>
      <c r="C60" s="20">
        <f>C49/C57</f>
        <v>0.68630554532561261</v>
      </c>
      <c r="D60" s="20">
        <f>C60*C56</f>
        <v>299.1811763737943</v>
      </c>
      <c r="E60" s="20"/>
      <c r="F60" s="20"/>
      <c r="G60" s="20"/>
      <c r="H60" s="20"/>
      <c r="I60" s="20"/>
      <c r="J60" s="20"/>
      <c r="K60" s="20"/>
      <c r="L60" s="20"/>
    </row>
    <row r="61" spans="2:12" x14ac:dyDescent="0.25">
      <c r="B61" s="20"/>
      <c r="C61" s="20">
        <f>C50/C57</f>
        <v>0.19983388313835498</v>
      </c>
      <c r="D61" s="20">
        <f>C61*C56</f>
        <v>87.113584676503095</v>
      </c>
      <c r="E61" s="20"/>
      <c r="F61" s="20"/>
      <c r="G61" s="20"/>
      <c r="H61" s="20"/>
      <c r="I61" s="20"/>
      <c r="J61" s="20"/>
      <c r="K61" s="20"/>
      <c r="L61" s="20"/>
    </row>
    <row r="62" spans="2:12" x14ac:dyDescent="0.25">
      <c r="B62" s="14" t="s">
        <v>113</v>
      </c>
      <c r="C62" s="20"/>
      <c r="D62" s="20"/>
      <c r="E62" s="20"/>
      <c r="F62" s="20"/>
      <c r="G62" s="20"/>
      <c r="H62" s="20"/>
      <c r="I62" s="20"/>
      <c r="J62" s="20"/>
      <c r="K62" s="20"/>
      <c r="L62" s="20"/>
    </row>
    <row r="63" spans="2:12" x14ac:dyDescent="0.25">
      <c r="B63" s="88" t="s">
        <v>101</v>
      </c>
      <c r="C63" s="43"/>
      <c r="D63" s="83" t="s">
        <v>102</v>
      </c>
    </row>
    <row r="64" spans="2:12" x14ac:dyDescent="0.25">
      <c r="B64" s="86" t="s">
        <v>103</v>
      </c>
      <c r="C64" s="2" t="s">
        <v>111</v>
      </c>
      <c r="D64" s="153">
        <v>81061350.189999998</v>
      </c>
      <c r="E64" s="2">
        <f>D64/$D$79</f>
        <v>0.5152867294418001</v>
      </c>
    </row>
    <row r="65" spans="2:5" x14ac:dyDescent="0.25">
      <c r="B65" s="86" t="s">
        <v>104</v>
      </c>
      <c r="C65" s="2" t="s">
        <v>111</v>
      </c>
      <c r="D65" s="153">
        <v>27924245.360000003</v>
      </c>
      <c r="E65" s="2">
        <f t="shared" ref="E65:E79" si="3">D65/$D$79</f>
        <v>0.1775074438059365</v>
      </c>
    </row>
    <row r="66" spans="2:5" x14ac:dyDescent="0.25">
      <c r="B66" s="86" t="s">
        <v>105</v>
      </c>
      <c r="C66" s="2" t="s">
        <v>111</v>
      </c>
      <c r="D66" s="153">
        <v>15288513.970000001</v>
      </c>
      <c r="E66" s="2">
        <f t="shared" si="3"/>
        <v>9.7185259598580251E-2</v>
      </c>
    </row>
    <row r="67" spans="2:5" x14ac:dyDescent="0.25">
      <c r="B67" s="87" t="s">
        <v>106</v>
      </c>
      <c r="C67" s="12" t="s">
        <v>111</v>
      </c>
      <c r="D67" s="154">
        <f>SUM(D64:D66)</f>
        <v>124274109.52</v>
      </c>
      <c r="E67" s="2">
        <f t="shared" si="3"/>
        <v>0.78997943284631689</v>
      </c>
    </row>
    <row r="68" spans="2:5" ht="5.25" customHeight="1" x14ac:dyDescent="0.25">
      <c r="B68" s="86"/>
      <c r="D68" s="153"/>
      <c r="E68" s="2">
        <f t="shared" si="3"/>
        <v>0</v>
      </c>
    </row>
    <row r="69" spans="2:5" x14ac:dyDescent="0.25">
      <c r="B69" s="86" t="s">
        <v>112</v>
      </c>
      <c r="C69" s="2" t="s">
        <v>111</v>
      </c>
      <c r="D69" s="153">
        <v>6066777.2999999998</v>
      </c>
      <c r="E69" s="2">
        <f t="shared" si="3"/>
        <v>3.8564985974714305E-2</v>
      </c>
    </row>
    <row r="70" spans="2:5" x14ac:dyDescent="0.25">
      <c r="B70" s="86"/>
      <c r="D70" s="153"/>
      <c r="E70" s="2">
        <f t="shared" si="3"/>
        <v>0</v>
      </c>
    </row>
    <row r="71" spans="2:5" x14ac:dyDescent="0.25">
      <c r="B71" s="88" t="s">
        <v>107</v>
      </c>
      <c r="C71" s="43"/>
      <c r="D71" s="155"/>
      <c r="E71" s="2">
        <f t="shared" si="3"/>
        <v>0</v>
      </c>
    </row>
    <row r="72" spans="2:5" x14ac:dyDescent="0.25">
      <c r="B72" s="86" t="s">
        <v>103</v>
      </c>
      <c r="C72" s="2" t="s">
        <v>111</v>
      </c>
      <c r="D72" s="153">
        <v>12846294.390000001</v>
      </c>
      <c r="E72" s="2">
        <f t="shared" si="3"/>
        <v>8.1660680535842495E-2</v>
      </c>
    </row>
    <row r="73" spans="2:5" x14ac:dyDescent="0.25">
      <c r="B73" s="86" t="s">
        <v>104</v>
      </c>
      <c r="C73" s="2" t="s">
        <v>111</v>
      </c>
      <c r="D73" s="153">
        <v>1239116.54</v>
      </c>
      <c r="E73" s="2">
        <f t="shared" si="3"/>
        <v>7.8767539375702023E-3</v>
      </c>
    </row>
    <row r="74" spans="2:5" x14ac:dyDescent="0.25">
      <c r="B74" s="86" t="s">
        <v>105</v>
      </c>
      <c r="C74" s="2" t="s">
        <v>111</v>
      </c>
      <c r="D74" s="153">
        <v>990315.63</v>
      </c>
      <c r="E74" s="2">
        <f t="shared" si="3"/>
        <v>6.2951887786437061E-3</v>
      </c>
    </row>
    <row r="75" spans="2:5" x14ac:dyDescent="0.25">
      <c r="B75" s="88" t="s">
        <v>106</v>
      </c>
      <c r="C75" s="43"/>
      <c r="D75" s="155">
        <f>SUM(D72:D74)</f>
        <v>15075726.560000001</v>
      </c>
      <c r="E75" s="2">
        <f t="shared" si="3"/>
        <v>9.5832623252056409E-2</v>
      </c>
    </row>
    <row r="76" spans="2:5" ht="11.25" customHeight="1" x14ac:dyDescent="0.25">
      <c r="D76" s="153"/>
      <c r="E76" s="2">
        <f t="shared" si="3"/>
        <v>0</v>
      </c>
    </row>
    <row r="77" spans="2:5" x14ac:dyDescent="0.25">
      <c r="B77" s="86" t="s">
        <v>108</v>
      </c>
      <c r="D77" s="153">
        <v>725742.97</v>
      </c>
      <c r="E77" s="2">
        <f t="shared" si="3"/>
        <v>4.6133665495348749E-3</v>
      </c>
    </row>
    <row r="78" spans="2:5" x14ac:dyDescent="0.25">
      <c r="B78" s="86" t="s">
        <v>109</v>
      </c>
      <c r="D78" s="153">
        <v>11170738.59</v>
      </c>
      <c r="E78" s="2">
        <f t="shared" si="3"/>
        <v>7.1009591377377557E-2</v>
      </c>
    </row>
    <row r="79" spans="2:5" x14ac:dyDescent="0.25">
      <c r="B79" s="88" t="s">
        <v>110</v>
      </c>
      <c r="C79" s="43"/>
      <c r="D79" s="155">
        <f>D78+D77+D75+D69+D67</f>
        <v>157313094.94</v>
      </c>
      <c r="E79" s="2">
        <f t="shared" si="3"/>
        <v>1</v>
      </c>
    </row>
    <row r="81" spans="2:13" ht="21" x14ac:dyDescent="0.35">
      <c r="B81" s="168" t="s">
        <v>154</v>
      </c>
    </row>
    <row r="82" spans="2:13" ht="21" x14ac:dyDescent="0.35">
      <c r="B82" s="158" t="s">
        <v>147</v>
      </c>
      <c r="C82" s="159"/>
      <c r="D82" s="159"/>
      <c r="E82" s="159"/>
      <c r="F82" s="159"/>
      <c r="G82" s="159"/>
      <c r="H82" s="159"/>
      <c r="I82" s="159"/>
      <c r="J82" s="159"/>
      <c r="K82" s="159"/>
      <c r="L82" s="159"/>
      <c r="M82" s="159"/>
    </row>
    <row r="83" spans="2:13" x14ac:dyDescent="0.25">
      <c r="B83" s="159"/>
      <c r="C83" s="156" t="s">
        <v>13</v>
      </c>
      <c r="D83" s="156" t="s">
        <v>14</v>
      </c>
      <c r="E83" s="156" t="s">
        <v>15</v>
      </c>
      <c r="F83" s="156" t="s">
        <v>16</v>
      </c>
      <c r="G83" s="156" t="s">
        <v>17</v>
      </c>
      <c r="H83" s="156" t="s">
        <v>18</v>
      </c>
      <c r="I83" s="156" t="s">
        <v>19</v>
      </c>
      <c r="J83" s="156" t="s">
        <v>20</v>
      </c>
      <c r="K83" s="156" t="s">
        <v>21</v>
      </c>
      <c r="L83" s="156" t="s">
        <v>11</v>
      </c>
      <c r="M83" s="156" t="s">
        <v>8</v>
      </c>
    </row>
    <row r="84" spans="2:13" x14ac:dyDescent="0.25">
      <c r="B84" s="160" t="s">
        <v>88</v>
      </c>
      <c r="C84" s="159"/>
      <c r="D84" s="159"/>
      <c r="E84" s="159"/>
      <c r="F84" s="159"/>
      <c r="G84" s="159">
        <v>277.44</v>
      </c>
      <c r="H84" s="159">
        <v>268.52</v>
      </c>
      <c r="I84" s="159">
        <v>358.85</v>
      </c>
      <c r="J84" s="159">
        <v>436.66</v>
      </c>
      <c r="K84" s="159">
        <v>405.24</v>
      </c>
      <c r="L84" s="160">
        <v>337.11</v>
      </c>
      <c r="M84" s="160">
        <v>283.87</v>
      </c>
    </row>
    <row r="85" spans="2:13" x14ac:dyDescent="0.25">
      <c r="B85" s="159" t="s">
        <v>89</v>
      </c>
      <c r="C85" s="159"/>
      <c r="D85" s="159"/>
      <c r="E85" s="159"/>
      <c r="F85" s="159"/>
      <c r="G85" s="159">
        <v>2347.5700000000002</v>
      </c>
      <c r="H85" s="159">
        <v>2152.89</v>
      </c>
      <c r="I85" s="159">
        <v>2327.94</v>
      </c>
      <c r="J85" s="159">
        <v>2256.96</v>
      </c>
      <c r="K85" s="159">
        <v>2048.5300000000002</v>
      </c>
      <c r="L85" s="159">
        <v>1871.61</v>
      </c>
      <c r="M85" s="159">
        <v>1749.67</v>
      </c>
    </row>
    <row r="86" spans="2:13" x14ac:dyDescent="0.25">
      <c r="B86" s="159" t="s">
        <v>90</v>
      </c>
      <c r="C86" s="159"/>
      <c r="D86" s="159"/>
      <c r="E86" s="159"/>
      <c r="F86" s="159"/>
      <c r="G86" s="159">
        <v>274.43</v>
      </c>
      <c r="H86" s="159">
        <v>247.34</v>
      </c>
      <c r="I86" s="159">
        <v>261.91000000000003</v>
      </c>
      <c r="J86" s="159">
        <v>244.69</v>
      </c>
      <c r="K86" s="159">
        <v>200.92</v>
      </c>
      <c r="L86" s="159">
        <v>170.45</v>
      </c>
      <c r="M86" s="159">
        <v>141.53</v>
      </c>
    </row>
    <row r="87" spans="2:13" x14ac:dyDescent="0.25">
      <c r="B87" s="159" t="s">
        <v>91</v>
      </c>
      <c r="C87" s="159"/>
      <c r="D87" s="159"/>
      <c r="E87" s="159"/>
      <c r="F87" s="159"/>
      <c r="G87" s="161">
        <v>341.54</v>
      </c>
      <c r="H87" s="161">
        <v>351.2</v>
      </c>
      <c r="I87" s="161">
        <v>374.83</v>
      </c>
      <c r="J87" s="161">
        <v>397.74</v>
      </c>
      <c r="K87" s="161">
        <v>406.73</v>
      </c>
      <c r="L87" s="161">
        <v>440.73</v>
      </c>
      <c r="M87" s="161">
        <v>452.54</v>
      </c>
    </row>
    <row r="88" spans="2:13" x14ac:dyDescent="0.25">
      <c r="B88" s="160" t="s">
        <v>92</v>
      </c>
      <c r="C88" s="160">
        <f t="shared" ref="C88:K88" si="4">SUM(C85:C87)</f>
        <v>0</v>
      </c>
      <c r="D88" s="160">
        <f t="shared" si="4"/>
        <v>0</v>
      </c>
      <c r="E88" s="160">
        <f t="shared" si="4"/>
        <v>0</v>
      </c>
      <c r="F88" s="160">
        <f t="shared" si="4"/>
        <v>0</v>
      </c>
      <c r="G88" s="160">
        <v>2963.54</v>
      </c>
      <c r="H88" s="160">
        <f t="shared" si="4"/>
        <v>2751.43</v>
      </c>
      <c r="I88" s="160">
        <f t="shared" si="4"/>
        <v>2964.68</v>
      </c>
      <c r="J88" s="160">
        <f>SUM(J85:J87)</f>
        <v>2899.3900000000003</v>
      </c>
      <c r="K88" s="160">
        <f t="shared" si="4"/>
        <v>2656.1800000000003</v>
      </c>
      <c r="L88" s="160">
        <f>SUM(L85:L87)</f>
        <v>2482.79</v>
      </c>
      <c r="M88" s="160">
        <f>SUM(M85:M87)</f>
        <v>2343.7400000000002</v>
      </c>
    </row>
    <row r="89" spans="2:13" x14ac:dyDescent="0.25">
      <c r="B89" s="159" t="s">
        <v>148</v>
      </c>
      <c r="C89" s="159">
        <f t="shared" ref="C89:K89" si="5">C88+C84</f>
        <v>0</v>
      </c>
      <c r="D89" s="159">
        <f t="shared" si="5"/>
        <v>0</v>
      </c>
      <c r="E89" s="159">
        <f t="shared" si="5"/>
        <v>0</v>
      </c>
      <c r="F89" s="159">
        <f t="shared" si="5"/>
        <v>0</v>
      </c>
      <c r="G89" s="159">
        <v>3240.98</v>
      </c>
      <c r="H89" s="159">
        <f t="shared" si="5"/>
        <v>3019.95</v>
      </c>
      <c r="I89" s="159">
        <f>I88+I84</f>
        <v>3323.5299999999997</v>
      </c>
      <c r="J89" s="159">
        <f t="shared" si="5"/>
        <v>3336.05</v>
      </c>
      <c r="K89" s="159">
        <f t="shared" si="5"/>
        <v>3061.42</v>
      </c>
      <c r="L89" s="159">
        <f>L88+L84</f>
        <v>2819.9</v>
      </c>
      <c r="M89" s="159">
        <f>M88+M84</f>
        <v>2627.61</v>
      </c>
    </row>
    <row r="90" spans="2:13" x14ac:dyDescent="0.25">
      <c r="B90" s="160" t="s">
        <v>94</v>
      </c>
      <c r="C90" s="159"/>
      <c r="D90" s="159"/>
      <c r="E90" s="159"/>
      <c r="F90" s="159"/>
      <c r="G90" s="161">
        <v>17.510000000000002</v>
      </c>
      <c r="H90" s="159">
        <v>16.440000000000001</v>
      </c>
      <c r="I90" s="159">
        <v>19.45</v>
      </c>
      <c r="J90" s="160">
        <v>75.84</v>
      </c>
      <c r="K90" s="160">
        <v>274.56</v>
      </c>
      <c r="L90" s="160">
        <v>625.09</v>
      </c>
      <c r="M90" s="160">
        <v>765.09</v>
      </c>
    </row>
    <row r="91" spans="2:13" x14ac:dyDescent="0.25">
      <c r="B91" s="160" t="s">
        <v>95</v>
      </c>
      <c r="C91" s="160">
        <f t="shared" ref="C91:L91" si="6">SUM(C89:C90)</f>
        <v>0</v>
      </c>
      <c r="D91" s="160">
        <f t="shared" si="6"/>
        <v>0</v>
      </c>
      <c r="E91" s="160">
        <f t="shared" si="6"/>
        <v>0</v>
      </c>
      <c r="F91" s="160">
        <f t="shared" si="6"/>
        <v>0</v>
      </c>
      <c r="G91" s="160">
        <v>3258.49</v>
      </c>
      <c r="H91" s="160">
        <f t="shared" si="6"/>
        <v>3036.39</v>
      </c>
      <c r="I91" s="160">
        <f t="shared" si="6"/>
        <v>3342.9799999999996</v>
      </c>
      <c r="J91" s="160">
        <f t="shared" si="6"/>
        <v>3411.8900000000003</v>
      </c>
      <c r="K91" s="160">
        <f t="shared" si="6"/>
        <v>3335.98</v>
      </c>
      <c r="L91" s="160">
        <f t="shared" si="6"/>
        <v>3444.9900000000002</v>
      </c>
      <c r="M91" s="160">
        <f>SUM(M89:M90)</f>
        <v>3392.7000000000003</v>
      </c>
    </row>
    <row r="92" spans="2:13" x14ac:dyDescent="0.25">
      <c r="B92" s="159" t="s">
        <v>149</v>
      </c>
      <c r="C92" s="159"/>
      <c r="D92" s="159"/>
      <c r="E92" s="159"/>
      <c r="F92" s="159"/>
      <c r="G92" s="161">
        <v>285.32</v>
      </c>
      <c r="H92" s="159">
        <v>205.46</v>
      </c>
      <c r="I92" s="159">
        <v>309.04000000000002</v>
      </c>
      <c r="J92" s="159">
        <v>265.08</v>
      </c>
      <c r="K92" s="159">
        <v>208.44</v>
      </c>
      <c r="L92" s="159">
        <v>129.68</v>
      </c>
      <c r="M92" s="159">
        <v>126.69</v>
      </c>
    </row>
    <row r="93" spans="2:13" x14ac:dyDescent="0.25">
      <c r="B93" s="159" t="s">
        <v>90</v>
      </c>
      <c r="C93" s="159"/>
      <c r="D93" s="159"/>
      <c r="E93" s="159"/>
      <c r="F93" s="159"/>
      <c r="G93" s="161">
        <v>234.68</v>
      </c>
      <c r="H93" s="159">
        <v>262.43</v>
      </c>
      <c r="I93" s="159">
        <v>253.52</v>
      </c>
      <c r="J93" s="162">
        <v>172.07</v>
      </c>
      <c r="K93" s="159">
        <v>95.38</v>
      </c>
      <c r="L93" s="159">
        <v>78.59</v>
      </c>
      <c r="M93" s="159">
        <v>119.34</v>
      </c>
    </row>
    <row r="94" spans="2:13" x14ac:dyDescent="0.25">
      <c r="B94" s="159" t="s">
        <v>91</v>
      </c>
      <c r="C94" s="159"/>
      <c r="D94" s="159"/>
      <c r="E94" s="159"/>
      <c r="F94" s="159"/>
      <c r="G94" s="161">
        <v>3.55</v>
      </c>
      <c r="H94" s="161">
        <v>1.0900000000000001</v>
      </c>
      <c r="I94" s="161">
        <v>1.7</v>
      </c>
      <c r="J94" s="162">
        <v>1.84</v>
      </c>
      <c r="K94" s="162">
        <v>2.2799999999999998</v>
      </c>
      <c r="L94" s="162">
        <v>1.36</v>
      </c>
      <c r="M94" s="162">
        <v>189.91</v>
      </c>
    </row>
    <row r="95" spans="2:13" x14ac:dyDescent="0.25">
      <c r="B95" s="159" t="s">
        <v>92</v>
      </c>
      <c r="C95" s="159"/>
      <c r="D95" s="159"/>
      <c r="E95" s="159"/>
      <c r="F95" s="159"/>
      <c r="G95" s="161">
        <v>238.23</v>
      </c>
      <c r="H95" s="161">
        <v>263.52</v>
      </c>
      <c r="I95" s="161">
        <v>255.22</v>
      </c>
      <c r="J95" s="162">
        <v>173.91</v>
      </c>
      <c r="K95" s="162">
        <v>97.66</v>
      </c>
      <c r="L95" s="162">
        <v>88.95</v>
      </c>
      <c r="M95" s="162">
        <v>309.25</v>
      </c>
    </row>
    <row r="96" spans="2:13" x14ac:dyDescent="0.25">
      <c r="B96" s="160" t="s">
        <v>150</v>
      </c>
      <c r="C96" s="160">
        <f t="shared" ref="C96:F96" si="7">SUM(C92:C93)</f>
        <v>0</v>
      </c>
      <c r="D96" s="160">
        <f t="shared" si="7"/>
        <v>0</v>
      </c>
      <c r="E96" s="160">
        <f t="shared" si="7"/>
        <v>0</v>
      </c>
      <c r="F96" s="160">
        <f t="shared" si="7"/>
        <v>0</v>
      </c>
      <c r="G96" s="160">
        <f>G92+G95</f>
        <v>523.54999999999995</v>
      </c>
      <c r="H96" s="160">
        <f>H92+H95</f>
        <v>468.98</v>
      </c>
      <c r="I96" s="160">
        <f t="shared" ref="I96:M96" si="8">I92+I95</f>
        <v>564.26</v>
      </c>
      <c r="J96" s="160">
        <f t="shared" si="8"/>
        <v>438.99</v>
      </c>
      <c r="K96" s="160">
        <f t="shared" si="8"/>
        <v>306.10000000000002</v>
      </c>
      <c r="L96" s="160">
        <f t="shared" si="8"/>
        <v>218.63</v>
      </c>
      <c r="M96" s="160">
        <f t="shared" si="8"/>
        <v>435.94</v>
      </c>
    </row>
    <row r="97" spans="2:13" x14ac:dyDescent="0.25">
      <c r="B97" s="163" t="s">
        <v>151</v>
      </c>
      <c r="C97" s="163">
        <f t="shared" ref="C97:L97" si="9">C96+C91</f>
        <v>0</v>
      </c>
      <c r="D97" s="163">
        <f t="shared" si="9"/>
        <v>0</v>
      </c>
      <c r="E97" s="163">
        <f t="shared" si="9"/>
        <v>0</v>
      </c>
      <c r="F97" s="163">
        <f t="shared" si="9"/>
        <v>0</v>
      </c>
      <c r="G97" s="163">
        <f>G96+G91</f>
        <v>3782.04</v>
      </c>
      <c r="H97" s="163">
        <f t="shared" si="9"/>
        <v>3505.37</v>
      </c>
      <c r="I97" s="163">
        <f t="shared" si="9"/>
        <v>3907.24</v>
      </c>
      <c r="J97" s="163">
        <f t="shared" si="9"/>
        <v>3850.88</v>
      </c>
      <c r="K97" s="163">
        <f t="shared" si="9"/>
        <v>3642.08</v>
      </c>
      <c r="L97" s="163">
        <f t="shared" si="9"/>
        <v>3663.6200000000003</v>
      </c>
      <c r="M97" s="163">
        <f>M96+M91</f>
        <v>3828.6400000000003</v>
      </c>
    </row>
    <row r="98" spans="2:13" x14ac:dyDescent="0.25">
      <c r="B98" s="159"/>
      <c r="C98" s="159"/>
      <c r="D98" s="159"/>
      <c r="E98" s="159"/>
      <c r="F98" s="159"/>
      <c r="G98" s="159"/>
      <c r="H98" s="159"/>
      <c r="I98" s="159"/>
      <c r="J98" s="159"/>
      <c r="K98" s="159"/>
      <c r="L98" s="159"/>
      <c r="M98" s="159"/>
    </row>
    <row r="99" spans="2:13" x14ac:dyDescent="0.25">
      <c r="B99" s="159"/>
      <c r="C99" s="159"/>
      <c r="D99" s="159"/>
      <c r="E99" s="159"/>
      <c r="F99" s="159"/>
      <c r="G99" s="159"/>
      <c r="H99" s="159"/>
      <c r="I99" s="159"/>
      <c r="J99" s="159"/>
      <c r="K99" s="159"/>
      <c r="L99" s="159"/>
      <c r="M99" s="159"/>
    </row>
    <row r="100" spans="2:13" x14ac:dyDescent="0.25">
      <c r="B100" s="159"/>
      <c r="C100" s="159"/>
      <c r="D100" s="159"/>
      <c r="E100" s="159"/>
      <c r="F100" s="159"/>
      <c r="G100" s="159"/>
      <c r="H100" s="159"/>
      <c r="I100" s="159"/>
      <c r="J100" s="159"/>
      <c r="K100" s="159"/>
      <c r="L100" s="159"/>
      <c r="M100" s="159"/>
    </row>
    <row r="101" spans="2:13" x14ac:dyDescent="0.25">
      <c r="B101" s="159"/>
      <c r="C101" s="159"/>
      <c r="D101" s="159"/>
      <c r="E101" s="159"/>
      <c r="F101" s="159"/>
      <c r="G101" s="159"/>
      <c r="H101" s="159"/>
      <c r="I101" s="159"/>
      <c r="J101" s="159"/>
      <c r="K101" s="159"/>
      <c r="L101" s="159"/>
      <c r="M101" s="159"/>
    </row>
    <row r="102" spans="2:13" ht="21" x14ac:dyDescent="0.35">
      <c r="B102" s="158" t="s">
        <v>152</v>
      </c>
      <c r="C102" s="159"/>
      <c r="D102" s="159"/>
      <c r="E102" s="159"/>
      <c r="F102" s="159"/>
      <c r="G102" s="159"/>
      <c r="H102" s="159"/>
      <c r="I102" s="159"/>
      <c r="J102" s="159"/>
      <c r="K102" s="159"/>
      <c r="L102" s="159"/>
      <c r="M102" s="159"/>
    </row>
    <row r="103" spans="2:13" x14ac:dyDescent="0.25">
      <c r="B103" s="159"/>
      <c r="C103" s="156" t="s">
        <v>13</v>
      </c>
      <c r="D103" s="156" t="s">
        <v>14</v>
      </c>
      <c r="E103" s="156" t="s">
        <v>15</v>
      </c>
      <c r="F103" s="156" t="s">
        <v>16</v>
      </c>
      <c r="G103" s="156" t="s">
        <v>17</v>
      </c>
      <c r="H103" s="156" t="s">
        <v>18</v>
      </c>
      <c r="I103" s="156" t="s">
        <v>19</v>
      </c>
      <c r="J103" s="156" t="s">
        <v>20</v>
      </c>
      <c r="K103" s="156" t="s">
        <v>21</v>
      </c>
      <c r="L103" s="156" t="s">
        <v>11</v>
      </c>
      <c r="M103" s="156" t="s">
        <v>8</v>
      </c>
    </row>
    <row r="104" spans="2:13" x14ac:dyDescent="0.25">
      <c r="B104" s="160" t="s">
        <v>88</v>
      </c>
      <c r="C104" s="159"/>
      <c r="D104" s="159"/>
      <c r="E104" s="159"/>
      <c r="F104" s="159"/>
      <c r="G104" s="159"/>
      <c r="H104" s="159"/>
      <c r="I104" s="159"/>
      <c r="J104" s="159">
        <v>43.03</v>
      </c>
      <c r="K104" s="159">
        <v>54.8</v>
      </c>
      <c r="L104" s="160">
        <v>52.92</v>
      </c>
      <c r="M104" s="160">
        <v>54.67</v>
      </c>
    </row>
    <row r="105" spans="2:13" x14ac:dyDescent="0.25">
      <c r="B105" s="159" t="s">
        <v>89</v>
      </c>
      <c r="C105" s="159"/>
      <c r="D105" s="159"/>
      <c r="E105" s="159"/>
      <c r="F105" s="159"/>
      <c r="G105" s="159"/>
      <c r="H105" s="159"/>
      <c r="I105" s="159"/>
      <c r="J105" s="159">
        <v>618.47</v>
      </c>
      <c r="K105" s="159">
        <v>659.08</v>
      </c>
      <c r="L105" s="159">
        <v>648.57000000000005</v>
      </c>
      <c r="M105" s="159">
        <v>602.88</v>
      </c>
    </row>
    <row r="106" spans="2:13" x14ac:dyDescent="0.25">
      <c r="B106" s="159" t="s">
        <v>90</v>
      </c>
      <c r="C106" s="159"/>
      <c r="D106" s="159"/>
      <c r="E106" s="159"/>
      <c r="F106" s="159"/>
      <c r="G106" s="159"/>
      <c r="H106" s="159"/>
      <c r="I106" s="159"/>
      <c r="J106" s="159">
        <v>57.32</v>
      </c>
      <c r="K106" s="159">
        <v>49.33</v>
      </c>
      <c r="L106" s="159">
        <v>41.79</v>
      </c>
      <c r="M106" s="159">
        <v>31.73</v>
      </c>
    </row>
    <row r="107" spans="2:13" x14ac:dyDescent="0.25">
      <c r="B107" s="159" t="s">
        <v>91</v>
      </c>
      <c r="C107" s="159"/>
      <c r="D107" s="159"/>
      <c r="E107" s="159"/>
      <c r="F107" s="159"/>
      <c r="G107" s="159"/>
      <c r="H107" s="159"/>
      <c r="I107" s="159"/>
      <c r="J107" s="159">
        <v>133.6</v>
      </c>
      <c r="K107" s="159">
        <v>155.56</v>
      </c>
      <c r="L107" s="159">
        <v>176.96</v>
      </c>
      <c r="M107" s="159">
        <v>198.52</v>
      </c>
    </row>
    <row r="108" spans="2:13" x14ac:dyDescent="0.25">
      <c r="B108" s="160" t="s">
        <v>92</v>
      </c>
      <c r="C108" s="159"/>
      <c r="D108" s="159"/>
      <c r="E108" s="159"/>
      <c r="F108" s="159"/>
      <c r="G108" s="159"/>
      <c r="H108" s="159"/>
      <c r="I108" s="159"/>
      <c r="J108" s="160">
        <v>809.4</v>
      </c>
      <c r="K108" s="159">
        <v>863.96</v>
      </c>
      <c r="L108" s="160">
        <v>867.32</v>
      </c>
      <c r="M108" s="160">
        <f>SUM(M105:M107)</f>
        <v>833.13</v>
      </c>
    </row>
    <row r="109" spans="2:13" x14ac:dyDescent="0.25">
      <c r="B109" s="159" t="s">
        <v>148</v>
      </c>
      <c r="C109" s="159"/>
      <c r="D109" s="159"/>
      <c r="E109" s="159"/>
      <c r="F109" s="159"/>
      <c r="G109" s="159"/>
      <c r="H109" s="159"/>
      <c r="I109" s="159"/>
      <c r="J109" s="159">
        <v>852.43</v>
      </c>
      <c r="K109" s="159">
        <v>918.76</v>
      </c>
      <c r="L109" s="159">
        <v>920.24</v>
      </c>
      <c r="M109" s="159">
        <v>887.8</v>
      </c>
    </row>
    <row r="110" spans="2:13" x14ac:dyDescent="0.25">
      <c r="B110" s="160" t="s">
        <v>94</v>
      </c>
      <c r="C110" s="159"/>
      <c r="D110" s="159"/>
      <c r="E110" s="159"/>
      <c r="F110" s="159"/>
      <c r="G110" s="159"/>
      <c r="H110" s="159"/>
      <c r="I110" s="159"/>
      <c r="J110" s="160">
        <v>0.39</v>
      </c>
      <c r="K110" s="160">
        <v>9.9600000000000009</v>
      </c>
      <c r="L110" s="160">
        <v>45.49</v>
      </c>
      <c r="M110" s="160">
        <v>115.75</v>
      </c>
    </row>
    <row r="111" spans="2:13" x14ac:dyDescent="0.25">
      <c r="B111" s="160" t="s">
        <v>95</v>
      </c>
      <c r="C111" s="160"/>
      <c r="D111" s="160"/>
      <c r="E111" s="160"/>
      <c r="F111" s="160"/>
      <c r="G111" s="160"/>
      <c r="H111" s="160"/>
      <c r="I111" s="160"/>
      <c r="J111" s="164">
        <v>852.82</v>
      </c>
      <c r="K111" s="160">
        <v>928.72</v>
      </c>
      <c r="L111" s="160">
        <v>965.73</v>
      </c>
      <c r="M111" s="160">
        <v>1003.55</v>
      </c>
    </row>
    <row r="112" spans="2:13" x14ac:dyDescent="0.25">
      <c r="B112" s="159" t="s">
        <v>149</v>
      </c>
      <c r="C112" s="159"/>
      <c r="D112" s="159"/>
      <c r="E112" s="159"/>
      <c r="F112" s="159"/>
      <c r="G112" s="159"/>
      <c r="H112" s="159"/>
      <c r="I112" s="159"/>
      <c r="J112" s="159">
        <v>17.73</v>
      </c>
      <c r="K112" s="159">
        <v>11.11</v>
      </c>
      <c r="L112" s="159">
        <v>10.62</v>
      </c>
      <c r="M112" s="159">
        <v>7.39</v>
      </c>
    </row>
    <row r="113" spans="2:13" x14ac:dyDescent="0.25">
      <c r="B113" s="159" t="s">
        <v>90</v>
      </c>
      <c r="C113" s="159"/>
      <c r="D113" s="159"/>
      <c r="E113" s="159"/>
      <c r="F113" s="159"/>
      <c r="G113" s="159"/>
      <c r="H113" s="159"/>
      <c r="I113" s="159"/>
      <c r="J113" s="162">
        <v>54.42</v>
      </c>
      <c r="K113" s="159">
        <v>56.47</v>
      </c>
      <c r="L113" s="159">
        <v>254.27</v>
      </c>
      <c r="M113" s="159">
        <v>4.5599999999999996</v>
      </c>
    </row>
    <row r="114" spans="2:13" x14ac:dyDescent="0.25">
      <c r="B114" s="159" t="s">
        <v>91</v>
      </c>
      <c r="C114" s="159"/>
      <c r="D114" s="159"/>
      <c r="E114" s="159"/>
      <c r="F114" s="159"/>
      <c r="G114" s="159"/>
      <c r="H114" s="159"/>
      <c r="I114" s="159"/>
      <c r="J114" s="162">
        <v>15.13</v>
      </c>
      <c r="K114" s="159">
        <v>119.37</v>
      </c>
      <c r="L114" s="159">
        <v>0</v>
      </c>
      <c r="M114" s="159">
        <v>4.45</v>
      </c>
    </row>
    <row r="115" spans="2:13" x14ac:dyDescent="0.25">
      <c r="B115" s="159" t="s">
        <v>92</v>
      </c>
      <c r="C115" s="159"/>
      <c r="D115" s="159"/>
      <c r="E115" s="159"/>
      <c r="F115" s="159"/>
      <c r="G115" s="159"/>
      <c r="H115" s="159"/>
      <c r="I115" s="159"/>
      <c r="J115" s="162">
        <v>69.55</v>
      </c>
      <c r="K115" s="159">
        <v>175.84</v>
      </c>
      <c r="L115" s="159">
        <v>254.27</v>
      </c>
      <c r="M115" s="159">
        <v>9.01</v>
      </c>
    </row>
    <row r="116" spans="2:13" x14ac:dyDescent="0.25">
      <c r="B116" s="160" t="s">
        <v>150</v>
      </c>
      <c r="C116" s="159"/>
      <c r="D116" s="159"/>
      <c r="E116" s="159"/>
      <c r="F116" s="159"/>
      <c r="G116" s="159"/>
      <c r="H116" s="159"/>
      <c r="I116" s="159"/>
      <c r="J116" s="164">
        <v>87.28</v>
      </c>
      <c r="K116" s="160">
        <f>K112+K115</f>
        <v>186.95</v>
      </c>
      <c r="L116" s="160">
        <v>264.89</v>
      </c>
      <c r="M116" s="160">
        <v>11.83</v>
      </c>
    </row>
    <row r="117" spans="2:13" x14ac:dyDescent="0.25">
      <c r="B117" s="163" t="s">
        <v>151</v>
      </c>
      <c r="C117" s="165"/>
      <c r="D117" s="165"/>
      <c r="E117" s="165"/>
      <c r="F117" s="165"/>
      <c r="G117" s="165"/>
      <c r="H117" s="165"/>
      <c r="I117" s="165"/>
      <c r="J117" s="166">
        <v>940.1</v>
      </c>
      <c r="K117" s="167">
        <f>K111+K116</f>
        <v>1115.67</v>
      </c>
      <c r="L117" s="167">
        <v>1230.6199999999999</v>
      </c>
      <c r="M117" s="163">
        <v>1015.38</v>
      </c>
    </row>
    <row r="118" spans="2:13" x14ac:dyDescent="0.25">
      <c r="B118" s="159"/>
      <c r="C118" s="159"/>
      <c r="D118" s="159"/>
      <c r="E118" s="159"/>
      <c r="F118" s="159"/>
      <c r="G118" s="159"/>
      <c r="H118" s="159"/>
      <c r="I118" s="159"/>
      <c r="J118" s="159"/>
      <c r="K118" s="159"/>
      <c r="L118" s="159"/>
      <c r="M118" s="159"/>
    </row>
    <row r="119" spans="2:13" x14ac:dyDescent="0.25">
      <c r="B119" s="159"/>
      <c r="C119" s="159"/>
      <c r="D119" s="159"/>
      <c r="E119" s="159"/>
      <c r="F119" s="159"/>
      <c r="G119" s="159"/>
      <c r="H119" s="159"/>
      <c r="I119" s="159"/>
      <c r="J119" s="159"/>
      <c r="K119" s="159"/>
      <c r="L119" s="159"/>
      <c r="M119" s="159"/>
    </row>
    <row r="120" spans="2:13" x14ac:dyDescent="0.25">
      <c r="B120" s="159"/>
      <c r="C120" s="159"/>
      <c r="D120" s="159"/>
      <c r="E120" s="159"/>
      <c r="F120" s="159"/>
      <c r="G120" s="159"/>
      <c r="H120" s="159"/>
      <c r="I120" s="159"/>
      <c r="J120" s="159"/>
      <c r="K120" s="159"/>
      <c r="L120" s="159"/>
      <c r="M120" s="159"/>
    </row>
    <row r="121" spans="2:13" ht="21" x14ac:dyDescent="0.35">
      <c r="B121" s="158" t="s">
        <v>153</v>
      </c>
      <c r="C121" s="156" t="s">
        <v>13</v>
      </c>
      <c r="D121" s="156" t="s">
        <v>14</v>
      </c>
      <c r="E121" s="156" t="s">
        <v>15</v>
      </c>
      <c r="F121" s="156" t="s">
        <v>16</v>
      </c>
      <c r="G121" s="156" t="s">
        <v>17</v>
      </c>
      <c r="H121" s="156" t="s">
        <v>18</v>
      </c>
      <c r="I121" s="156" t="s">
        <v>19</v>
      </c>
      <c r="J121" s="156" t="s">
        <v>20</v>
      </c>
      <c r="K121" s="156" t="s">
        <v>21</v>
      </c>
      <c r="L121" s="156" t="s">
        <v>11</v>
      </c>
      <c r="M121" s="156" t="s">
        <v>8</v>
      </c>
    </row>
    <row r="122" spans="2:13" x14ac:dyDescent="0.25">
      <c r="B122" s="160" t="s">
        <v>88</v>
      </c>
      <c r="C122" s="159"/>
      <c r="D122" s="159"/>
      <c r="E122" s="159"/>
      <c r="F122" s="159"/>
      <c r="G122" s="159"/>
      <c r="H122" s="159"/>
      <c r="I122" s="159"/>
      <c r="J122" s="159">
        <v>53.26</v>
      </c>
      <c r="K122" s="159">
        <v>53.43</v>
      </c>
      <c r="L122" s="159">
        <v>45.08</v>
      </c>
      <c r="M122" s="160">
        <f>32.53</f>
        <v>32.53</v>
      </c>
    </row>
    <row r="123" spans="2:13" x14ac:dyDescent="0.25">
      <c r="B123" s="159" t="s">
        <v>89</v>
      </c>
      <c r="C123" s="159"/>
      <c r="D123" s="159"/>
      <c r="E123" s="159"/>
      <c r="F123" s="159"/>
      <c r="G123" s="159"/>
      <c r="H123" s="159"/>
      <c r="I123" s="159"/>
      <c r="J123" s="159">
        <v>431.95</v>
      </c>
      <c r="K123" s="159">
        <v>399.6</v>
      </c>
      <c r="L123" s="159">
        <v>358.69</v>
      </c>
      <c r="M123" s="159">
        <v>330.75</v>
      </c>
    </row>
    <row r="124" spans="2:13" x14ac:dyDescent="0.25">
      <c r="B124" s="159" t="s">
        <v>90</v>
      </c>
      <c r="C124" s="159"/>
      <c r="D124" s="159"/>
      <c r="E124" s="159"/>
      <c r="F124" s="159"/>
      <c r="G124" s="159"/>
      <c r="H124" s="159"/>
      <c r="I124" s="159"/>
      <c r="J124" s="159">
        <v>48.19</v>
      </c>
      <c r="K124" s="159">
        <v>39.99</v>
      </c>
      <c r="L124" s="159">
        <v>31.25</v>
      </c>
      <c r="M124" s="159">
        <v>23.94</v>
      </c>
    </row>
    <row r="125" spans="2:13" x14ac:dyDescent="0.25">
      <c r="B125" s="159" t="s">
        <v>91</v>
      </c>
      <c r="C125" s="159"/>
      <c r="D125" s="159"/>
      <c r="E125" s="159"/>
      <c r="F125" s="159"/>
      <c r="G125" s="159"/>
      <c r="H125" s="159"/>
      <c r="I125" s="159"/>
      <c r="J125" s="161">
        <v>91.07</v>
      </c>
      <c r="K125" s="161">
        <v>92.2</v>
      </c>
      <c r="L125" s="161">
        <v>97.98</v>
      </c>
      <c r="M125" s="159">
        <v>105.45</v>
      </c>
    </row>
    <row r="126" spans="2:13" x14ac:dyDescent="0.25">
      <c r="B126" s="160" t="s">
        <v>92</v>
      </c>
      <c r="C126" s="164">
        <f>SUM(C123:C125)</f>
        <v>0</v>
      </c>
      <c r="D126" s="164">
        <f t="shared" ref="D126:L126" si="10">SUM(D123:D125)</f>
        <v>0</v>
      </c>
      <c r="E126" s="164">
        <f t="shared" si="10"/>
        <v>0</v>
      </c>
      <c r="F126" s="164">
        <f t="shared" si="10"/>
        <v>0</v>
      </c>
      <c r="G126" s="164">
        <f t="shared" si="10"/>
        <v>0</v>
      </c>
      <c r="H126" s="164">
        <f t="shared" si="10"/>
        <v>0</v>
      </c>
      <c r="I126" s="164">
        <f t="shared" si="10"/>
        <v>0</v>
      </c>
      <c r="J126" s="164">
        <f t="shared" si="10"/>
        <v>571.21</v>
      </c>
      <c r="K126" s="164">
        <f t="shared" si="10"/>
        <v>531.79000000000008</v>
      </c>
      <c r="L126" s="164">
        <f t="shared" si="10"/>
        <v>487.92</v>
      </c>
      <c r="M126" s="164">
        <f>SUM(M123:M125)</f>
        <v>460.14</v>
      </c>
    </row>
    <row r="127" spans="2:13" x14ac:dyDescent="0.25">
      <c r="B127" s="159" t="s">
        <v>148</v>
      </c>
      <c r="C127" s="164">
        <f>C126+C122</f>
        <v>0</v>
      </c>
      <c r="D127" s="164">
        <f t="shared" ref="D127:L127" si="11">D126+D122</f>
        <v>0</v>
      </c>
      <c r="E127" s="164">
        <f t="shared" si="11"/>
        <v>0</v>
      </c>
      <c r="F127" s="164">
        <f t="shared" si="11"/>
        <v>0</v>
      </c>
      <c r="G127" s="164">
        <f t="shared" si="11"/>
        <v>0</v>
      </c>
      <c r="H127" s="164">
        <f t="shared" si="11"/>
        <v>0</v>
      </c>
      <c r="I127" s="164">
        <f t="shared" si="11"/>
        <v>0</v>
      </c>
      <c r="J127" s="164">
        <f t="shared" si="11"/>
        <v>624.47</v>
      </c>
      <c r="K127" s="164">
        <f t="shared" si="11"/>
        <v>585.22</v>
      </c>
      <c r="L127" s="164">
        <f t="shared" si="11"/>
        <v>533</v>
      </c>
      <c r="M127" s="164">
        <f>M126+M122</f>
        <v>492.66999999999996</v>
      </c>
    </row>
    <row r="128" spans="2:13" x14ac:dyDescent="0.25">
      <c r="B128" s="160" t="s">
        <v>94</v>
      </c>
      <c r="C128" s="159"/>
      <c r="D128" s="159"/>
      <c r="E128" s="159"/>
      <c r="F128" s="159"/>
      <c r="G128" s="159"/>
      <c r="H128" s="159"/>
      <c r="I128" s="159"/>
      <c r="J128" s="161">
        <v>1.1299999999999999</v>
      </c>
      <c r="K128" s="161">
        <v>9</v>
      </c>
      <c r="L128" s="161">
        <v>47.04</v>
      </c>
      <c r="M128" s="161">
        <v>97.48</v>
      </c>
    </row>
    <row r="129" spans="2:24" x14ac:dyDescent="0.25">
      <c r="B129" s="160" t="s">
        <v>95</v>
      </c>
      <c r="C129" s="161">
        <f>C128+C127</f>
        <v>0</v>
      </c>
      <c r="D129" s="161">
        <f t="shared" ref="D129:L129" si="12">D128+D127</f>
        <v>0</v>
      </c>
      <c r="E129" s="161">
        <f t="shared" si="12"/>
        <v>0</v>
      </c>
      <c r="F129" s="161">
        <f t="shared" si="12"/>
        <v>0</v>
      </c>
      <c r="G129" s="161">
        <f t="shared" si="12"/>
        <v>0</v>
      </c>
      <c r="H129" s="161">
        <f t="shared" si="12"/>
        <v>0</v>
      </c>
      <c r="I129" s="161">
        <f t="shared" si="12"/>
        <v>0</v>
      </c>
      <c r="J129" s="161">
        <f t="shared" si="12"/>
        <v>625.6</v>
      </c>
      <c r="K129" s="161">
        <f t="shared" si="12"/>
        <v>594.22</v>
      </c>
      <c r="L129" s="161">
        <f t="shared" si="12"/>
        <v>580.04</v>
      </c>
      <c r="M129" s="161">
        <f>M128+M127</f>
        <v>590.15</v>
      </c>
    </row>
    <row r="130" spans="2:24" x14ac:dyDescent="0.25">
      <c r="B130" s="159" t="s">
        <v>149</v>
      </c>
      <c r="C130" s="159"/>
      <c r="D130" s="159"/>
      <c r="E130" s="159"/>
      <c r="F130" s="159"/>
      <c r="G130" s="159"/>
      <c r="H130" s="159"/>
      <c r="I130" s="159"/>
      <c r="J130" s="159">
        <v>4.37</v>
      </c>
      <c r="K130" s="159">
        <v>2.31</v>
      </c>
      <c r="L130" s="159">
        <v>1.08</v>
      </c>
      <c r="M130" s="161">
        <v>1.29</v>
      </c>
    </row>
    <row r="131" spans="2:24" x14ac:dyDescent="0.25">
      <c r="B131" s="159" t="s">
        <v>90</v>
      </c>
      <c r="C131" s="159"/>
      <c r="D131" s="159"/>
      <c r="E131" s="159"/>
      <c r="F131" s="159"/>
      <c r="G131" s="159"/>
      <c r="H131" s="159"/>
      <c r="I131" s="159"/>
      <c r="J131" s="159">
        <v>1</v>
      </c>
      <c r="K131" s="159"/>
      <c r="L131" s="159"/>
      <c r="M131" s="161">
        <v>4.87</v>
      </c>
    </row>
    <row r="132" spans="2:24" x14ac:dyDescent="0.25">
      <c r="B132" s="159" t="s">
        <v>91</v>
      </c>
      <c r="C132" s="159"/>
      <c r="D132" s="159"/>
      <c r="E132" s="159"/>
      <c r="F132" s="159"/>
      <c r="G132" s="159"/>
      <c r="H132" s="159"/>
      <c r="I132" s="159"/>
      <c r="J132" s="159"/>
      <c r="K132" s="159"/>
      <c r="L132" s="159"/>
      <c r="M132" s="161">
        <v>4.3899999999999997</v>
      </c>
    </row>
    <row r="133" spans="2:24" x14ac:dyDescent="0.25">
      <c r="B133" s="159" t="s">
        <v>92</v>
      </c>
      <c r="C133" s="161">
        <f>SUM(C131:C132)</f>
        <v>0</v>
      </c>
      <c r="D133" s="161">
        <f t="shared" ref="D133:L133" si="13">SUM(D131:D132)</f>
        <v>0</v>
      </c>
      <c r="E133" s="161">
        <f t="shared" si="13"/>
        <v>0</v>
      </c>
      <c r="F133" s="161">
        <f t="shared" si="13"/>
        <v>0</v>
      </c>
      <c r="G133" s="161">
        <f t="shared" si="13"/>
        <v>0</v>
      </c>
      <c r="H133" s="161">
        <f t="shared" si="13"/>
        <v>0</v>
      </c>
      <c r="I133" s="161">
        <f t="shared" si="13"/>
        <v>0</v>
      </c>
      <c r="J133" s="161">
        <f t="shared" si="13"/>
        <v>1</v>
      </c>
      <c r="K133" s="161">
        <v>2.31</v>
      </c>
      <c r="L133" s="161">
        <f t="shared" si="13"/>
        <v>0</v>
      </c>
      <c r="M133" s="161">
        <f>SUM(M131:M132)</f>
        <v>9.26</v>
      </c>
    </row>
    <row r="134" spans="2:24" x14ac:dyDescent="0.25">
      <c r="B134" s="160" t="s">
        <v>150</v>
      </c>
      <c r="C134" s="161">
        <f>C133+C130</f>
        <v>0</v>
      </c>
      <c r="D134" s="161">
        <f t="shared" ref="D134:L134" si="14">D133+D130</f>
        <v>0</v>
      </c>
      <c r="E134" s="161">
        <f t="shared" si="14"/>
        <v>0</v>
      </c>
      <c r="F134" s="161">
        <f t="shared" si="14"/>
        <v>0</v>
      </c>
      <c r="G134" s="161">
        <f t="shared" si="14"/>
        <v>0</v>
      </c>
      <c r="H134" s="161">
        <f t="shared" si="14"/>
        <v>0</v>
      </c>
      <c r="I134" s="161">
        <f t="shared" si="14"/>
        <v>0</v>
      </c>
      <c r="J134" s="161">
        <f>J133+J130</f>
        <v>5.37</v>
      </c>
      <c r="K134" s="161">
        <f t="shared" si="14"/>
        <v>4.62</v>
      </c>
      <c r="L134" s="161">
        <f t="shared" si="14"/>
        <v>1.08</v>
      </c>
      <c r="M134" s="161">
        <f>M133+M130</f>
        <v>10.55</v>
      </c>
    </row>
    <row r="135" spans="2:24" x14ac:dyDescent="0.25">
      <c r="B135" s="160" t="s">
        <v>151</v>
      </c>
      <c r="C135" s="161">
        <f>C134+C129</f>
        <v>0</v>
      </c>
      <c r="D135" s="161">
        <f t="shared" ref="D135:L135" si="15">D134+D129</f>
        <v>0</v>
      </c>
      <c r="E135" s="161">
        <f t="shared" si="15"/>
        <v>0</v>
      </c>
      <c r="F135" s="161">
        <f t="shared" si="15"/>
        <v>0</v>
      </c>
      <c r="G135" s="161">
        <f t="shared" si="15"/>
        <v>0</v>
      </c>
      <c r="H135" s="161">
        <f t="shared" si="15"/>
        <v>0</v>
      </c>
      <c r="I135" s="161">
        <f t="shared" si="15"/>
        <v>0</v>
      </c>
      <c r="J135" s="161">
        <f t="shared" si="15"/>
        <v>630.97</v>
      </c>
      <c r="K135" s="161">
        <f t="shared" si="15"/>
        <v>598.84</v>
      </c>
      <c r="L135" s="161">
        <f t="shared" si="15"/>
        <v>581.12</v>
      </c>
      <c r="M135" s="161">
        <f>M134+M129</f>
        <v>600.69999999999993</v>
      </c>
    </row>
    <row r="140" spans="2:24" x14ac:dyDescent="0.25">
      <c r="B140" s="191" t="s">
        <v>160</v>
      </c>
      <c r="C140"/>
      <c r="D140"/>
      <c r="E140"/>
      <c r="F140"/>
      <c r="G140"/>
      <c r="H140"/>
      <c r="I140"/>
      <c r="J140"/>
      <c r="K140"/>
      <c r="L140"/>
      <c r="M140"/>
      <c r="N140"/>
      <c r="O140"/>
      <c r="P140"/>
      <c r="Q140"/>
      <c r="R140"/>
      <c r="S140"/>
      <c r="T140"/>
      <c r="U140"/>
      <c r="V140"/>
      <c r="W140"/>
      <c r="X140"/>
    </row>
    <row r="141" spans="2:24" x14ac:dyDescent="0.25">
      <c r="B141" s="191" t="s">
        <v>161</v>
      </c>
      <c r="C141"/>
      <c r="D141"/>
      <c r="E141"/>
      <c r="F141"/>
      <c r="G141"/>
      <c r="H141"/>
      <c r="I141"/>
      <c r="J141"/>
      <c r="K141"/>
      <c r="L141"/>
      <c r="M141"/>
      <c r="N141"/>
      <c r="O141"/>
      <c r="P141"/>
      <c r="Q141"/>
      <c r="R141"/>
      <c r="S141"/>
      <c r="T141"/>
      <c r="U141"/>
      <c r="V141"/>
      <c r="W141"/>
      <c r="X141"/>
    </row>
    <row r="142" spans="2:24" x14ac:dyDescent="0.25">
      <c r="B142"/>
      <c r="C142"/>
      <c r="D142"/>
      <c r="E142"/>
      <c r="F142"/>
      <c r="G142"/>
      <c r="H142"/>
      <c r="I142"/>
      <c r="J142"/>
      <c r="K142" t="s">
        <v>162</v>
      </c>
      <c r="L142"/>
      <c r="M142"/>
      <c r="N142"/>
      <c r="O142"/>
      <c r="P142"/>
      <c r="Q142"/>
      <c r="R142"/>
      <c r="S142"/>
      <c r="T142"/>
      <c r="U142"/>
      <c r="V142"/>
      <c r="W142"/>
      <c r="X142"/>
    </row>
    <row r="143" spans="2:24" x14ac:dyDescent="0.25">
      <c r="B143"/>
      <c r="C143" s="681" t="s">
        <v>163</v>
      </c>
      <c r="D143" s="681"/>
      <c r="E143" s="681" t="s">
        <v>164</v>
      </c>
      <c r="F143" s="681"/>
      <c r="G143" s="681" t="s">
        <v>165</v>
      </c>
      <c r="H143" s="681"/>
      <c r="I143" s="681" t="s">
        <v>166</v>
      </c>
      <c r="J143" s="681"/>
      <c r="K143" s="681" t="s">
        <v>167</v>
      </c>
      <c r="L143" s="681"/>
      <c r="M143" s="681" t="s">
        <v>168</v>
      </c>
      <c r="N143" s="681"/>
      <c r="O143" s="681" t="s">
        <v>169</v>
      </c>
      <c r="P143" s="681"/>
      <c r="Q143" s="681" t="s">
        <v>170</v>
      </c>
      <c r="R143" s="681"/>
      <c r="S143" s="681" t="s">
        <v>171</v>
      </c>
      <c r="T143" s="681"/>
      <c r="U143" s="681" t="s">
        <v>172</v>
      </c>
      <c r="V143" s="681"/>
      <c r="W143" s="681" t="s">
        <v>173</v>
      </c>
      <c r="X143" s="681"/>
    </row>
    <row r="144" spans="2:24" x14ac:dyDescent="0.25">
      <c r="B144"/>
      <c r="C144" s="192" t="s">
        <v>51</v>
      </c>
      <c r="D144" s="192" t="s">
        <v>52</v>
      </c>
      <c r="E144" s="192" t="s">
        <v>51</v>
      </c>
      <c r="F144" s="192" t="s">
        <v>52</v>
      </c>
      <c r="G144" s="192" t="s">
        <v>51</v>
      </c>
      <c r="H144" s="192" t="s">
        <v>52</v>
      </c>
      <c r="I144" s="192" t="s">
        <v>51</v>
      </c>
      <c r="J144" s="192" t="s">
        <v>52</v>
      </c>
      <c r="K144" s="192" t="s">
        <v>51</v>
      </c>
      <c r="L144" s="192" t="s">
        <v>52</v>
      </c>
      <c r="M144" s="192" t="s">
        <v>51</v>
      </c>
      <c r="N144" s="192" t="s">
        <v>52</v>
      </c>
      <c r="O144" s="192" t="s">
        <v>51</v>
      </c>
      <c r="P144" s="192" t="s">
        <v>52</v>
      </c>
      <c r="Q144" s="192" t="s">
        <v>51</v>
      </c>
      <c r="R144" s="192" t="s">
        <v>52</v>
      </c>
      <c r="S144" s="192" t="s">
        <v>51</v>
      </c>
      <c r="T144" s="192" t="s">
        <v>52</v>
      </c>
      <c r="U144" s="192" t="s">
        <v>51</v>
      </c>
      <c r="V144" s="192" t="s">
        <v>52</v>
      </c>
      <c r="W144" s="192" t="s">
        <v>51</v>
      </c>
      <c r="X144" s="192" t="s">
        <v>52</v>
      </c>
    </row>
    <row r="145" spans="2:24" x14ac:dyDescent="0.25">
      <c r="B145" s="193" t="s">
        <v>174</v>
      </c>
      <c r="C145" s="194">
        <v>3828.63</v>
      </c>
      <c r="D145" s="194">
        <v>3166.35</v>
      </c>
      <c r="E145" s="195">
        <v>3663.62</v>
      </c>
      <c r="F145" s="195">
        <v>3279.61</v>
      </c>
      <c r="G145" s="195">
        <v>3642.08</v>
      </c>
      <c r="H145" s="195">
        <v>3107.37</v>
      </c>
      <c r="I145" s="195">
        <v>3850.88</v>
      </c>
      <c r="J145" s="195">
        <v>3119.48</v>
      </c>
      <c r="K145" s="195">
        <v>3907.24</v>
      </c>
      <c r="L145" s="195">
        <v>3188.31</v>
      </c>
      <c r="M145" s="195">
        <v>3505.37</v>
      </c>
      <c r="N145" s="195">
        <v>2959.05</v>
      </c>
      <c r="O145" s="195">
        <v>3782.04</v>
      </c>
      <c r="P145" s="195">
        <v>3106.4</v>
      </c>
      <c r="Q145" s="195">
        <v>3747.52</v>
      </c>
      <c r="R145" s="195">
        <v>2981.36</v>
      </c>
      <c r="S145" s="195">
        <v>3911.7</v>
      </c>
      <c r="T145" s="195">
        <v>2964.55</v>
      </c>
      <c r="U145" s="195">
        <v>3854.31</v>
      </c>
      <c r="V145" s="195">
        <v>2839.87</v>
      </c>
      <c r="W145" s="193">
        <v>3119.5</v>
      </c>
      <c r="X145" s="195">
        <v>2242.9</v>
      </c>
    </row>
    <row r="146" spans="2:24" x14ac:dyDescent="0.25">
      <c r="B146" s="193" t="s">
        <v>157</v>
      </c>
      <c r="C146" s="194">
        <v>1015.38</v>
      </c>
      <c r="D146" s="194">
        <v>800.99</v>
      </c>
      <c r="E146" s="195">
        <v>1230.6199999999999</v>
      </c>
      <c r="F146" s="193">
        <v>741.13</v>
      </c>
      <c r="G146" s="193">
        <v>598.83000000000004</v>
      </c>
      <c r="H146" s="193">
        <v>543.41</v>
      </c>
      <c r="I146" s="193">
        <v>630.98</v>
      </c>
      <c r="J146" s="193">
        <v>578.04</v>
      </c>
      <c r="K146" s="678">
        <v>1508.04</v>
      </c>
      <c r="L146" s="678">
        <v>1206.74</v>
      </c>
      <c r="M146" s="680">
        <v>1440.5</v>
      </c>
      <c r="N146" s="680">
        <v>1189.8800000000001</v>
      </c>
      <c r="O146" s="680">
        <v>1368.98</v>
      </c>
      <c r="P146" s="680">
        <v>1169.19</v>
      </c>
      <c r="Q146" s="680">
        <v>1451.1</v>
      </c>
      <c r="R146" s="680">
        <v>1067.78</v>
      </c>
      <c r="S146" s="680">
        <v>1477.35</v>
      </c>
      <c r="T146" s="680">
        <v>1056.0899999999999</v>
      </c>
      <c r="U146" s="680">
        <v>1482.91</v>
      </c>
      <c r="V146" s="678">
        <v>980.7</v>
      </c>
      <c r="W146" s="196">
        <v>721</v>
      </c>
      <c r="X146" s="196">
        <v>443.8</v>
      </c>
    </row>
    <row r="147" spans="2:24" x14ac:dyDescent="0.25">
      <c r="B147" s="193" t="s">
        <v>158</v>
      </c>
      <c r="C147" s="193">
        <v>600.71</v>
      </c>
      <c r="D147" s="193">
        <v>533.57000000000005</v>
      </c>
      <c r="E147" s="193">
        <v>581.12</v>
      </c>
      <c r="F147" s="193">
        <v>536.74</v>
      </c>
      <c r="G147" s="195">
        <v>1115.67</v>
      </c>
      <c r="H147" s="193">
        <v>716.98</v>
      </c>
      <c r="I147" s="193">
        <v>940.1</v>
      </c>
      <c r="J147" s="193">
        <v>637.73</v>
      </c>
      <c r="K147" s="679"/>
      <c r="L147" s="679"/>
      <c r="M147" s="679"/>
      <c r="N147" s="679"/>
      <c r="O147" s="679"/>
      <c r="P147" s="679"/>
      <c r="Q147" s="679"/>
      <c r="R147" s="679"/>
      <c r="S147" s="679"/>
      <c r="T147" s="679"/>
      <c r="U147" s="679"/>
      <c r="V147" s="679"/>
      <c r="W147" s="196">
        <v>595.1</v>
      </c>
      <c r="X147" s="196">
        <v>460.6</v>
      </c>
    </row>
    <row r="148" spans="2:24" x14ac:dyDescent="0.25">
      <c r="B148" s="193" t="s">
        <v>175</v>
      </c>
      <c r="C148" s="193">
        <v>868.43</v>
      </c>
      <c r="D148" s="193">
        <v>466.92</v>
      </c>
      <c r="E148" s="193">
        <v>841.26</v>
      </c>
      <c r="F148" s="193">
        <v>510.18</v>
      </c>
      <c r="G148" s="193">
        <v>867.67</v>
      </c>
      <c r="H148" s="193">
        <v>525.69000000000005</v>
      </c>
      <c r="I148" s="192" t="s">
        <v>176</v>
      </c>
      <c r="J148" s="192" t="s">
        <v>176</v>
      </c>
      <c r="K148" s="192" t="s">
        <v>176</v>
      </c>
      <c r="L148" s="192" t="s">
        <v>176</v>
      </c>
      <c r="M148" s="192" t="s">
        <v>176</v>
      </c>
      <c r="N148" s="192" t="s">
        <v>176</v>
      </c>
      <c r="O148" s="192" t="s">
        <v>176</v>
      </c>
      <c r="P148" s="192" t="s">
        <v>176</v>
      </c>
      <c r="Q148" s="192" t="s">
        <v>176</v>
      </c>
      <c r="R148" s="192" t="s">
        <v>176</v>
      </c>
      <c r="S148" s="192" t="s">
        <v>176</v>
      </c>
      <c r="T148" s="192" t="s">
        <v>176</v>
      </c>
      <c r="U148" s="192" t="s">
        <v>176</v>
      </c>
      <c r="V148" s="192" t="s">
        <v>176</v>
      </c>
      <c r="W148" s="192" t="s">
        <v>176</v>
      </c>
      <c r="X148" s="192" t="s">
        <v>176</v>
      </c>
    </row>
    <row r="149" spans="2:24" x14ac:dyDescent="0.25">
      <c r="B149" s="197" t="s">
        <v>33</v>
      </c>
      <c r="C149" s="198">
        <f>SUM(C145:C148)</f>
        <v>6313.1500000000005</v>
      </c>
      <c r="D149" s="198">
        <f t="shared" ref="D149:X149" si="16">SUM(D145:D148)</f>
        <v>4967.83</v>
      </c>
      <c r="E149" s="198">
        <f t="shared" si="16"/>
        <v>6316.62</v>
      </c>
      <c r="F149" s="198">
        <f t="shared" si="16"/>
        <v>5067.6600000000008</v>
      </c>
      <c r="G149" s="198">
        <f t="shared" si="16"/>
        <v>6224.25</v>
      </c>
      <c r="H149" s="198">
        <f t="shared" si="16"/>
        <v>4893.4500000000007</v>
      </c>
      <c r="I149" s="198">
        <f t="shared" si="16"/>
        <v>5421.9600000000009</v>
      </c>
      <c r="J149" s="198">
        <f t="shared" si="16"/>
        <v>4335.25</v>
      </c>
      <c r="K149" s="198">
        <f t="shared" si="16"/>
        <v>5415.28</v>
      </c>
      <c r="L149" s="198">
        <f t="shared" si="16"/>
        <v>4395.05</v>
      </c>
      <c r="M149" s="198">
        <f t="shared" si="16"/>
        <v>4945.87</v>
      </c>
      <c r="N149" s="198">
        <f t="shared" si="16"/>
        <v>4148.93</v>
      </c>
      <c r="O149" s="198">
        <f t="shared" si="16"/>
        <v>5151.0200000000004</v>
      </c>
      <c r="P149" s="198">
        <f t="shared" si="16"/>
        <v>4275.59</v>
      </c>
      <c r="Q149" s="198">
        <f t="shared" si="16"/>
        <v>5198.62</v>
      </c>
      <c r="R149" s="198">
        <f t="shared" si="16"/>
        <v>4049.1400000000003</v>
      </c>
      <c r="S149" s="198">
        <f t="shared" si="16"/>
        <v>5389.0499999999993</v>
      </c>
      <c r="T149" s="198">
        <f t="shared" si="16"/>
        <v>4020.6400000000003</v>
      </c>
      <c r="U149" s="198">
        <f t="shared" si="16"/>
        <v>5337.22</v>
      </c>
      <c r="V149" s="198">
        <f t="shared" si="16"/>
        <v>3820.5699999999997</v>
      </c>
      <c r="W149" s="198">
        <f t="shared" si="16"/>
        <v>4435.6000000000004</v>
      </c>
      <c r="X149" s="198">
        <f t="shared" si="16"/>
        <v>3147.3</v>
      </c>
    </row>
    <row r="152" spans="2:24" x14ac:dyDescent="0.25">
      <c r="E152" s="2" t="s">
        <v>174</v>
      </c>
      <c r="F152" s="2" t="s">
        <v>157</v>
      </c>
      <c r="G152" s="2" t="s">
        <v>158</v>
      </c>
      <c r="I152" s="2" t="s">
        <v>175</v>
      </c>
      <c r="J152" s="2" t="s">
        <v>33</v>
      </c>
      <c r="K152" s="2" t="s">
        <v>162</v>
      </c>
    </row>
    <row r="153" spans="2:24" x14ac:dyDescent="0.25">
      <c r="C153" s="2" t="s">
        <v>173</v>
      </c>
      <c r="D153" s="2" t="s">
        <v>51</v>
      </c>
      <c r="E153" s="2">
        <v>3119.5</v>
      </c>
      <c r="F153" s="2">
        <v>721</v>
      </c>
      <c r="G153" s="2">
        <v>595.1</v>
      </c>
      <c r="H153" s="2">
        <f>SUM(E153:G153)</f>
        <v>4435.6000000000004</v>
      </c>
      <c r="I153" s="2" t="s">
        <v>176</v>
      </c>
      <c r="J153" s="200">
        <v>4435.6000000000004</v>
      </c>
    </row>
    <row r="154" spans="2:24" x14ac:dyDescent="0.25">
      <c r="C154" s="2" t="s">
        <v>172</v>
      </c>
      <c r="D154" s="2" t="s">
        <v>51</v>
      </c>
      <c r="E154" s="200">
        <v>3854.31</v>
      </c>
      <c r="F154" s="200">
        <v>1482.91</v>
      </c>
      <c r="H154" s="2">
        <f t="shared" ref="H154:H163" si="17">SUM(E154:G154)</f>
        <v>5337.22</v>
      </c>
      <c r="I154" s="2" t="s">
        <v>176</v>
      </c>
      <c r="J154" s="200">
        <v>5337.22</v>
      </c>
    </row>
    <row r="155" spans="2:24" x14ac:dyDescent="0.25">
      <c r="C155" s="2" t="s">
        <v>171</v>
      </c>
      <c r="D155" s="2" t="s">
        <v>51</v>
      </c>
      <c r="E155" s="200">
        <v>3911.7</v>
      </c>
      <c r="F155" s="200">
        <v>1477.35</v>
      </c>
      <c r="H155" s="2">
        <f t="shared" si="17"/>
        <v>5389.0499999999993</v>
      </c>
      <c r="I155" s="2" t="s">
        <v>176</v>
      </c>
      <c r="J155" s="200">
        <v>5389.0499999999993</v>
      </c>
    </row>
    <row r="156" spans="2:24" x14ac:dyDescent="0.25">
      <c r="C156" s="2" t="s">
        <v>170</v>
      </c>
      <c r="D156" s="2" t="s">
        <v>51</v>
      </c>
      <c r="E156" s="200">
        <v>3747.52</v>
      </c>
      <c r="F156" s="200">
        <v>1451.1</v>
      </c>
      <c r="H156" s="2">
        <f t="shared" si="17"/>
        <v>5198.62</v>
      </c>
      <c r="I156" s="2" t="s">
        <v>176</v>
      </c>
      <c r="J156" s="200">
        <v>5198.62</v>
      </c>
    </row>
    <row r="157" spans="2:24" x14ac:dyDescent="0.25">
      <c r="C157" s="2" t="s">
        <v>169</v>
      </c>
      <c r="D157" s="2" t="s">
        <v>51</v>
      </c>
      <c r="E157" s="200">
        <v>3782.04</v>
      </c>
      <c r="F157" s="200">
        <v>1368.98</v>
      </c>
      <c r="H157" s="2">
        <f t="shared" si="17"/>
        <v>5151.0200000000004</v>
      </c>
      <c r="I157" s="2" t="s">
        <v>176</v>
      </c>
      <c r="J157" s="200">
        <v>5151.0200000000004</v>
      </c>
    </row>
    <row r="158" spans="2:24" x14ac:dyDescent="0.25">
      <c r="C158" s="2" t="s">
        <v>168</v>
      </c>
      <c r="D158" s="2" t="s">
        <v>51</v>
      </c>
      <c r="E158" s="200">
        <v>3505.37</v>
      </c>
      <c r="F158" s="200">
        <v>1440.5</v>
      </c>
      <c r="H158" s="2">
        <f t="shared" si="17"/>
        <v>4945.87</v>
      </c>
      <c r="I158" s="2" t="s">
        <v>176</v>
      </c>
      <c r="J158" s="200">
        <v>4945.87</v>
      </c>
    </row>
    <row r="159" spans="2:24" x14ac:dyDescent="0.25">
      <c r="C159" s="2" t="s">
        <v>167</v>
      </c>
      <c r="D159" s="2" t="s">
        <v>51</v>
      </c>
      <c r="E159" s="200">
        <v>3907.24</v>
      </c>
      <c r="F159" s="2">
        <v>1508.04</v>
      </c>
      <c r="H159" s="2">
        <f t="shared" si="17"/>
        <v>5415.28</v>
      </c>
      <c r="I159" s="2" t="s">
        <v>176</v>
      </c>
      <c r="J159" s="200">
        <v>5415.28</v>
      </c>
    </row>
    <row r="160" spans="2:24" x14ac:dyDescent="0.25">
      <c r="C160" s="2" t="s">
        <v>166</v>
      </c>
      <c r="D160" s="2" t="s">
        <v>51</v>
      </c>
      <c r="E160" s="200">
        <v>3850.88</v>
      </c>
      <c r="F160" s="2">
        <v>630.98</v>
      </c>
      <c r="G160" s="2">
        <v>940.1</v>
      </c>
      <c r="H160" s="2">
        <f t="shared" si="17"/>
        <v>5421.9600000000009</v>
      </c>
      <c r="I160" s="2" t="s">
        <v>176</v>
      </c>
      <c r="J160" s="200">
        <v>5421.9600000000009</v>
      </c>
    </row>
    <row r="161" spans="3:10" x14ac:dyDescent="0.25">
      <c r="C161" s="2" t="s">
        <v>165</v>
      </c>
      <c r="D161" s="2" t="s">
        <v>51</v>
      </c>
      <c r="E161" s="200">
        <v>3642.08</v>
      </c>
      <c r="F161" s="2">
        <v>598.83000000000004</v>
      </c>
      <c r="G161" s="200">
        <v>1115.67</v>
      </c>
      <c r="H161" s="2">
        <f t="shared" si="17"/>
        <v>5356.58</v>
      </c>
      <c r="I161" s="2">
        <v>867.67</v>
      </c>
      <c r="J161" s="200">
        <v>6224.25</v>
      </c>
    </row>
    <row r="162" spans="3:10" x14ac:dyDescent="0.25">
      <c r="C162" s="2" t="s">
        <v>164</v>
      </c>
      <c r="D162" s="2" t="s">
        <v>51</v>
      </c>
      <c r="E162" s="200">
        <v>3663.62</v>
      </c>
      <c r="F162" s="200">
        <v>1230.6199999999999</v>
      </c>
      <c r="G162" s="2">
        <v>581.12</v>
      </c>
      <c r="H162" s="2">
        <f t="shared" si="17"/>
        <v>5475.36</v>
      </c>
      <c r="I162" s="2">
        <v>841.26</v>
      </c>
      <c r="J162" s="200">
        <v>6316.62</v>
      </c>
    </row>
    <row r="163" spans="3:10" x14ac:dyDescent="0.25">
      <c r="C163" s="2" t="s">
        <v>163</v>
      </c>
      <c r="D163" s="2" t="s">
        <v>51</v>
      </c>
      <c r="E163" s="199">
        <v>3828.63</v>
      </c>
      <c r="F163" s="199">
        <v>1015.38</v>
      </c>
      <c r="G163" s="2">
        <v>600.71</v>
      </c>
      <c r="H163" s="2">
        <f t="shared" si="17"/>
        <v>5444.72</v>
      </c>
      <c r="I163" s="2">
        <v>868.43</v>
      </c>
      <c r="J163" s="200">
        <v>6313.1500000000005</v>
      </c>
    </row>
    <row r="164" spans="3:10" x14ac:dyDescent="0.25">
      <c r="E164" s="2" t="s">
        <v>174</v>
      </c>
      <c r="F164" s="2" t="s">
        <v>157</v>
      </c>
      <c r="G164" s="2" t="s">
        <v>158</v>
      </c>
      <c r="I164" s="2" t="s">
        <v>175</v>
      </c>
      <c r="J164" s="2" t="s">
        <v>33</v>
      </c>
    </row>
    <row r="165" spans="3:10" x14ac:dyDescent="0.25">
      <c r="C165" s="2" t="s">
        <v>173</v>
      </c>
      <c r="D165" s="2" t="s">
        <v>52</v>
      </c>
      <c r="E165" s="200">
        <v>2242.9</v>
      </c>
      <c r="F165" s="2">
        <v>443.8</v>
      </c>
      <c r="G165" s="2">
        <v>460.6</v>
      </c>
      <c r="I165" s="2" t="s">
        <v>176</v>
      </c>
      <c r="J165" s="200">
        <v>3147.3</v>
      </c>
    </row>
    <row r="166" spans="3:10" x14ac:dyDescent="0.25">
      <c r="C166" s="2" t="s">
        <v>172</v>
      </c>
      <c r="D166" s="2" t="s">
        <v>52</v>
      </c>
      <c r="E166" s="200">
        <v>2839.87</v>
      </c>
      <c r="F166" s="2">
        <v>980.7</v>
      </c>
      <c r="I166" s="2" t="s">
        <v>176</v>
      </c>
      <c r="J166" s="200">
        <v>3820.5699999999997</v>
      </c>
    </row>
    <row r="167" spans="3:10" x14ac:dyDescent="0.25">
      <c r="C167" s="2" t="s">
        <v>171</v>
      </c>
      <c r="D167" s="2" t="s">
        <v>52</v>
      </c>
      <c r="E167" s="200">
        <v>2964.55</v>
      </c>
      <c r="F167" s="200">
        <v>1056.0899999999999</v>
      </c>
      <c r="I167" s="2" t="s">
        <v>176</v>
      </c>
      <c r="J167" s="200">
        <v>4020.6400000000003</v>
      </c>
    </row>
    <row r="168" spans="3:10" x14ac:dyDescent="0.25">
      <c r="C168" s="2" t="s">
        <v>170</v>
      </c>
      <c r="D168" s="2" t="s">
        <v>52</v>
      </c>
      <c r="E168" s="200">
        <v>2981.36</v>
      </c>
      <c r="F168" s="200">
        <v>1067.78</v>
      </c>
      <c r="I168" s="2" t="s">
        <v>176</v>
      </c>
      <c r="J168" s="200">
        <v>4049.1400000000003</v>
      </c>
    </row>
    <row r="169" spans="3:10" x14ac:dyDescent="0.25">
      <c r="C169" s="2" t="s">
        <v>169</v>
      </c>
      <c r="D169" s="2" t="s">
        <v>52</v>
      </c>
      <c r="E169" s="200">
        <v>3106.4</v>
      </c>
      <c r="F169" s="200">
        <v>1169.19</v>
      </c>
      <c r="I169" s="2" t="s">
        <v>176</v>
      </c>
      <c r="J169" s="200">
        <v>4275.59</v>
      </c>
    </row>
    <row r="170" spans="3:10" x14ac:dyDescent="0.25">
      <c r="C170" s="2" t="s">
        <v>168</v>
      </c>
      <c r="D170" s="2" t="s">
        <v>52</v>
      </c>
      <c r="E170" s="200">
        <v>2959.05</v>
      </c>
      <c r="F170" s="200">
        <v>1189.8800000000001</v>
      </c>
      <c r="I170" s="2" t="s">
        <v>176</v>
      </c>
      <c r="J170" s="200">
        <v>4148.93</v>
      </c>
    </row>
    <row r="171" spans="3:10" x14ac:dyDescent="0.25">
      <c r="C171" s="2" t="s">
        <v>167</v>
      </c>
      <c r="D171" s="2" t="s">
        <v>52</v>
      </c>
      <c r="E171" s="200">
        <v>3188.31</v>
      </c>
      <c r="F171" s="2">
        <v>1206.74</v>
      </c>
      <c r="I171" s="2" t="s">
        <v>176</v>
      </c>
      <c r="J171" s="200">
        <v>4395.05</v>
      </c>
    </row>
    <row r="172" spans="3:10" x14ac:dyDescent="0.25">
      <c r="C172" s="2" t="s">
        <v>166</v>
      </c>
      <c r="D172" s="2" t="s">
        <v>52</v>
      </c>
      <c r="E172" s="200">
        <v>3119.48</v>
      </c>
      <c r="F172" s="2">
        <v>578.04</v>
      </c>
      <c r="G172" s="2">
        <v>637.73</v>
      </c>
      <c r="I172" s="2" t="s">
        <v>176</v>
      </c>
      <c r="J172" s="200">
        <v>4335.25</v>
      </c>
    </row>
    <row r="173" spans="3:10" x14ac:dyDescent="0.25">
      <c r="C173" s="2" t="s">
        <v>165</v>
      </c>
      <c r="D173" s="2" t="s">
        <v>52</v>
      </c>
      <c r="E173" s="200">
        <v>3107.37</v>
      </c>
      <c r="F173" s="2">
        <v>543.41</v>
      </c>
      <c r="G173" s="2">
        <v>716.98</v>
      </c>
      <c r="I173" s="2">
        <v>525.69000000000005</v>
      </c>
      <c r="J173" s="200">
        <v>4893.4500000000007</v>
      </c>
    </row>
    <row r="174" spans="3:10" x14ac:dyDescent="0.25">
      <c r="C174" s="2" t="s">
        <v>164</v>
      </c>
      <c r="D174" s="2" t="s">
        <v>52</v>
      </c>
      <c r="E174" s="200">
        <v>3279.61</v>
      </c>
      <c r="F174" s="2">
        <v>741.13</v>
      </c>
      <c r="G174" s="2">
        <v>536.74</v>
      </c>
      <c r="I174" s="2">
        <v>510.18</v>
      </c>
      <c r="J174" s="200">
        <v>5067.6600000000008</v>
      </c>
    </row>
    <row r="175" spans="3:10" x14ac:dyDescent="0.25">
      <c r="C175" s="2" t="s">
        <v>163</v>
      </c>
      <c r="D175" s="2" t="s">
        <v>52</v>
      </c>
      <c r="E175" s="199">
        <v>3166.35</v>
      </c>
      <c r="F175" s="199">
        <v>800.99</v>
      </c>
      <c r="G175" s="2">
        <v>533.57000000000005</v>
      </c>
      <c r="I175" s="2">
        <v>466.92</v>
      </c>
      <c r="J175" s="200">
        <v>4967.83</v>
      </c>
    </row>
  </sheetData>
  <sortState ref="C153:I175">
    <sortCondition ref="D151:D173"/>
  </sortState>
  <mergeCells count="23">
    <mergeCell ref="M143:N143"/>
    <mergeCell ref="C143:D143"/>
    <mergeCell ref="E143:F143"/>
    <mergeCell ref="G143:H143"/>
    <mergeCell ref="I143:J143"/>
    <mergeCell ref="K143:L143"/>
    <mergeCell ref="K146:K147"/>
    <mergeCell ref="L146:L147"/>
    <mergeCell ref="M146:M147"/>
    <mergeCell ref="N146:N147"/>
    <mergeCell ref="O146:O147"/>
    <mergeCell ref="O143:P143"/>
    <mergeCell ref="Q143:R143"/>
    <mergeCell ref="S143:T143"/>
    <mergeCell ref="U143:V143"/>
    <mergeCell ref="W143:X143"/>
    <mergeCell ref="V146:V147"/>
    <mergeCell ref="P146:P147"/>
    <mergeCell ref="Q146:Q147"/>
    <mergeCell ref="R146:R147"/>
    <mergeCell ref="S146:S147"/>
    <mergeCell ref="T146:T147"/>
    <mergeCell ref="U146:U147"/>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G92"/>
  <sheetViews>
    <sheetView workbookViewId="0">
      <selection activeCell="I17" sqref="I17"/>
    </sheetView>
  </sheetViews>
  <sheetFormatPr defaultRowHeight="15" x14ac:dyDescent="0.25"/>
  <cols>
    <col min="1" max="1" width="2.5703125" style="2" customWidth="1"/>
    <col min="2" max="2" width="32.28515625" style="2" customWidth="1"/>
    <col min="3" max="3" width="15.7109375" style="2" customWidth="1"/>
    <col min="4" max="4" width="20" style="2" customWidth="1"/>
    <col min="5" max="16384" width="9.140625" style="2"/>
  </cols>
  <sheetData>
    <row r="7" spans="2:4" ht="20.25" x14ac:dyDescent="0.3">
      <c r="B7" s="1" t="str">
        <f>Index!B7</f>
        <v>Economic effects of fiscal support for the NSW GREYHOUND racing industry: DRAFT</v>
      </c>
    </row>
    <row r="8" spans="2:4" ht="18" x14ac:dyDescent="0.25">
      <c r="B8" s="3" t="s">
        <v>499</v>
      </c>
    </row>
    <row r="10" spans="2:4" ht="15.75" x14ac:dyDescent="0.25">
      <c r="B10" s="562" t="s">
        <v>500</v>
      </c>
    </row>
    <row r="11" spans="2:4" ht="15.75" thickBot="1" x14ac:dyDescent="0.3">
      <c r="B11" s="545" t="s">
        <v>440</v>
      </c>
    </row>
    <row r="12" spans="2:4" ht="24.75" customHeight="1" thickBot="1" x14ac:dyDescent="0.3">
      <c r="B12" s="546" t="s">
        <v>441</v>
      </c>
      <c r="C12" s="547">
        <v>0.7</v>
      </c>
      <c r="D12" s="548" t="s">
        <v>442</v>
      </c>
    </row>
    <row r="13" spans="2:4" ht="16.5" customHeight="1" thickBot="1" x14ac:dyDescent="0.3">
      <c r="B13" s="549" t="s">
        <v>443</v>
      </c>
      <c r="C13" s="550">
        <v>0.17</v>
      </c>
      <c r="D13" s="551" t="s">
        <v>444</v>
      </c>
    </row>
    <row r="14" spans="2:4" ht="24" customHeight="1" thickBot="1" x14ac:dyDescent="0.3">
      <c r="B14" s="549" t="s">
        <v>445</v>
      </c>
      <c r="C14" s="550">
        <v>0.13</v>
      </c>
      <c r="D14" s="551" t="s">
        <v>446</v>
      </c>
    </row>
    <row r="15" spans="2:4" x14ac:dyDescent="0.25">
      <c r="B15" s="545"/>
    </row>
    <row r="16" spans="2:4" ht="15.75" thickBot="1" x14ac:dyDescent="0.3">
      <c r="B16" s="545" t="s">
        <v>447</v>
      </c>
    </row>
    <row r="17" spans="2:4" ht="30.75" thickBot="1" x14ac:dyDescent="0.3">
      <c r="B17" s="552" t="s">
        <v>448</v>
      </c>
      <c r="C17" s="553" t="s">
        <v>449</v>
      </c>
      <c r="D17" s="553" t="s">
        <v>450</v>
      </c>
    </row>
    <row r="18" spans="2:4" ht="15.75" thickBot="1" x14ac:dyDescent="0.3">
      <c r="B18" s="554">
        <v>0.13</v>
      </c>
      <c r="C18" s="555">
        <v>32</v>
      </c>
      <c r="D18" s="555">
        <v>0</v>
      </c>
    </row>
    <row r="19" spans="2:4" ht="15.75" thickBot="1" x14ac:dyDescent="0.3">
      <c r="B19" s="554">
        <v>0.14000000000000001</v>
      </c>
      <c r="C19" s="555">
        <v>35</v>
      </c>
      <c r="D19" s="555">
        <v>2.5</v>
      </c>
    </row>
    <row r="20" spans="2:4" ht="15.75" thickBot="1" x14ac:dyDescent="0.3">
      <c r="B20" s="554">
        <v>0.15</v>
      </c>
      <c r="C20" s="555">
        <v>37</v>
      </c>
      <c r="D20" s="555">
        <v>5</v>
      </c>
    </row>
    <row r="21" spans="2:4" ht="15.75" thickBot="1" x14ac:dyDescent="0.3">
      <c r="B21" s="554">
        <v>0.16</v>
      </c>
      <c r="C21" s="555">
        <v>40</v>
      </c>
      <c r="D21" s="555">
        <v>7.5</v>
      </c>
    </row>
    <row r="22" spans="2:4" ht="15.75" thickBot="1" x14ac:dyDescent="0.3">
      <c r="B22" s="554">
        <v>0.17</v>
      </c>
      <c r="C22" s="555">
        <v>42</v>
      </c>
      <c r="D22" s="555">
        <v>10</v>
      </c>
    </row>
    <row r="23" spans="2:4" ht="15.75" thickBot="1" x14ac:dyDescent="0.3">
      <c r="B23" s="554">
        <v>0.18</v>
      </c>
      <c r="C23" s="555">
        <v>45</v>
      </c>
      <c r="D23" s="555">
        <v>12.5</v>
      </c>
    </row>
    <row r="24" spans="2:4" ht="15.75" thickBot="1" x14ac:dyDescent="0.3">
      <c r="B24" s="554">
        <v>0.19</v>
      </c>
      <c r="C24" s="555">
        <v>47</v>
      </c>
      <c r="D24" s="555">
        <v>15</v>
      </c>
    </row>
    <row r="25" spans="2:4" ht="15.75" thickBot="1" x14ac:dyDescent="0.3">
      <c r="B25" s="554">
        <v>0.2</v>
      </c>
      <c r="C25" s="555">
        <v>50</v>
      </c>
      <c r="D25" s="555">
        <v>17.5</v>
      </c>
    </row>
    <row r="26" spans="2:4" x14ac:dyDescent="0.25">
      <c r="B26" s="545"/>
    </row>
    <row r="27" spans="2:4" x14ac:dyDescent="0.25">
      <c r="B27" s="545" t="s">
        <v>451</v>
      </c>
    </row>
    <row r="28" spans="2:4" x14ac:dyDescent="0.25">
      <c r="B28" s="545"/>
    </row>
    <row r="29" spans="2:4" x14ac:dyDescent="0.25">
      <c r="B29" s="545"/>
    </row>
    <row r="30" spans="2:4" x14ac:dyDescent="0.25">
      <c r="B30" s="545"/>
    </row>
    <row r="31" spans="2:4" ht="15.75" x14ac:dyDescent="0.25">
      <c r="B31" s="562" t="s">
        <v>452</v>
      </c>
    </row>
    <row r="32" spans="2:4" x14ac:dyDescent="0.25">
      <c r="B32" s="545" t="s">
        <v>453</v>
      </c>
    </row>
    <row r="33" spans="2:2" x14ac:dyDescent="0.25">
      <c r="B33" s="556" t="s">
        <v>454</v>
      </c>
    </row>
    <row r="34" spans="2:2" x14ac:dyDescent="0.25">
      <c r="B34" s="556" t="s">
        <v>455</v>
      </c>
    </row>
    <row r="35" spans="2:2" x14ac:dyDescent="0.25">
      <c r="B35" s="544" t="s">
        <v>456</v>
      </c>
    </row>
    <row r="36" spans="2:2" x14ac:dyDescent="0.25">
      <c r="B36" s="545" t="s">
        <v>457</v>
      </c>
    </row>
    <row r="37" spans="2:2" x14ac:dyDescent="0.25">
      <c r="B37" s="545" t="s">
        <v>458</v>
      </c>
    </row>
    <row r="38" spans="2:2" x14ac:dyDescent="0.25">
      <c r="B38" s="545" t="s">
        <v>459</v>
      </c>
    </row>
    <row r="39" spans="2:2" x14ac:dyDescent="0.25">
      <c r="B39" s="545" t="s">
        <v>460</v>
      </c>
    </row>
    <row r="40" spans="2:2" x14ac:dyDescent="0.25">
      <c r="B40" s="545" t="s">
        <v>461</v>
      </c>
    </row>
    <row r="41" spans="2:2" x14ac:dyDescent="0.25">
      <c r="B41" s="556" t="s">
        <v>462</v>
      </c>
    </row>
    <row r="42" spans="2:2" x14ac:dyDescent="0.25">
      <c r="B42" s="556" t="s">
        <v>463</v>
      </c>
    </row>
    <row r="43" spans="2:2" x14ac:dyDescent="0.25">
      <c r="B43" s="556" t="s">
        <v>464</v>
      </c>
    </row>
    <row r="44" spans="2:2" x14ac:dyDescent="0.25">
      <c r="B44" s="556" t="s">
        <v>465</v>
      </c>
    </row>
    <row r="45" spans="2:2" x14ac:dyDescent="0.25">
      <c r="B45" s="556" t="s">
        <v>466</v>
      </c>
    </row>
    <row r="46" spans="2:2" x14ac:dyDescent="0.25">
      <c r="B46" s="556" t="s">
        <v>467</v>
      </c>
    </row>
    <row r="47" spans="2:2" x14ac:dyDescent="0.25">
      <c r="B47" s="556" t="s">
        <v>468</v>
      </c>
    </row>
    <row r="48" spans="2:2" x14ac:dyDescent="0.25">
      <c r="B48" s="556" t="s">
        <v>469</v>
      </c>
    </row>
    <row r="49" spans="2:2" x14ac:dyDescent="0.25">
      <c r="B49" s="556" t="s">
        <v>470</v>
      </c>
    </row>
    <row r="50" spans="2:2" x14ac:dyDescent="0.25">
      <c r="B50" s="545" t="s">
        <v>471</v>
      </c>
    </row>
    <row r="51" spans="2:2" x14ac:dyDescent="0.25">
      <c r="B51" s="556" t="s">
        <v>472</v>
      </c>
    </row>
    <row r="52" spans="2:2" x14ac:dyDescent="0.25">
      <c r="B52" s="556" t="s">
        <v>473</v>
      </c>
    </row>
    <row r="53" spans="2:2" x14ac:dyDescent="0.25">
      <c r="B53" s="556" t="s">
        <v>474</v>
      </c>
    </row>
    <row r="54" spans="2:2" x14ac:dyDescent="0.25">
      <c r="B54" s="556" t="s">
        <v>475</v>
      </c>
    </row>
    <row r="55" spans="2:2" x14ac:dyDescent="0.25">
      <c r="B55" s="556" t="s">
        <v>476</v>
      </c>
    </row>
    <row r="56" spans="2:2" x14ac:dyDescent="0.25">
      <c r="B56" s="556" t="s">
        <v>477</v>
      </c>
    </row>
    <row r="57" spans="2:2" x14ac:dyDescent="0.25">
      <c r="B57" s="556" t="s">
        <v>478</v>
      </c>
    </row>
    <row r="58" spans="2:2" x14ac:dyDescent="0.25">
      <c r="B58" s="556" t="s">
        <v>479</v>
      </c>
    </row>
    <row r="59" spans="2:2" x14ac:dyDescent="0.25">
      <c r="B59" s="545" t="s">
        <v>480</v>
      </c>
    </row>
    <row r="60" spans="2:2" x14ac:dyDescent="0.25">
      <c r="B60" s="545"/>
    </row>
    <row r="61" spans="2:2" x14ac:dyDescent="0.25">
      <c r="B61" s="545"/>
    </row>
    <row r="62" spans="2:2" x14ac:dyDescent="0.25">
      <c r="B62" s="545"/>
    </row>
    <row r="63" spans="2:2" ht="15.75" x14ac:dyDescent="0.25">
      <c r="B63" s="562" t="s">
        <v>210</v>
      </c>
    </row>
    <row r="64" spans="2:2" x14ac:dyDescent="0.25">
      <c r="B64" s="545" t="s">
        <v>453</v>
      </c>
    </row>
    <row r="65" spans="2:7" x14ac:dyDescent="0.25">
      <c r="B65" s="556" t="s">
        <v>481</v>
      </c>
    </row>
    <row r="66" spans="2:7" x14ac:dyDescent="0.25">
      <c r="B66" s="556" t="s">
        <v>482</v>
      </c>
    </row>
    <row r="67" spans="2:7" x14ac:dyDescent="0.25">
      <c r="B67" s="556" t="s">
        <v>483</v>
      </c>
    </row>
    <row r="68" spans="2:7" x14ac:dyDescent="0.25">
      <c r="B68" s="544" t="s">
        <v>484</v>
      </c>
    </row>
    <row r="69" spans="2:7" x14ac:dyDescent="0.25">
      <c r="B69" s="545" t="s">
        <v>485</v>
      </c>
    </row>
    <row r="70" spans="2:7" x14ac:dyDescent="0.25">
      <c r="B70" s="545" t="s">
        <v>486</v>
      </c>
    </row>
    <row r="71" spans="2:7" x14ac:dyDescent="0.25">
      <c r="B71" s="545" t="s">
        <v>487</v>
      </c>
    </row>
    <row r="72" spans="2:7" ht="15.75" thickBot="1" x14ac:dyDescent="0.3">
      <c r="B72" s="545" t="s">
        <v>488</v>
      </c>
    </row>
    <row r="73" spans="2:7" ht="15.75" thickBot="1" x14ac:dyDescent="0.3">
      <c r="B73" s="546"/>
      <c r="C73" s="557"/>
      <c r="D73" s="548" t="s">
        <v>367</v>
      </c>
      <c r="E73" s="557"/>
      <c r="F73" s="548" t="s">
        <v>367</v>
      </c>
      <c r="G73" s="548" t="s">
        <v>489</v>
      </c>
    </row>
    <row r="74" spans="2:7" ht="15.75" thickBot="1" x14ac:dyDescent="0.3">
      <c r="B74" s="549" t="s">
        <v>490</v>
      </c>
      <c r="C74" s="558">
        <v>0.13</v>
      </c>
      <c r="D74" s="559">
        <v>32.5</v>
      </c>
      <c r="E74" s="560">
        <v>0.21099999999999999</v>
      </c>
      <c r="F74" s="559">
        <v>52.75</v>
      </c>
      <c r="G74" s="559">
        <v>20.25</v>
      </c>
    </row>
    <row r="75" spans="2:7" ht="15.75" thickBot="1" x14ac:dyDescent="0.3">
      <c r="B75" s="549" t="s">
        <v>441</v>
      </c>
      <c r="C75" s="558">
        <v>0.7</v>
      </c>
      <c r="D75" s="561">
        <v>175</v>
      </c>
      <c r="E75" s="560">
        <v>0.77500000000000002</v>
      </c>
      <c r="F75" s="559">
        <v>193.75</v>
      </c>
      <c r="G75" s="559">
        <v>18.75</v>
      </c>
    </row>
    <row r="76" spans="2:7" ht="15.75" thickBot="1" x14ac:dyDescent="0.3">
      <c r="B76" s="549" t="s">
        <v>158</v>
      </c>
      <c r="C76" s="558">
        <v>0.17</v>
      </c>
      <c r="D76" s="559">
        <v>42.5</v>
      </c>
      <c r="E76" s="560">
        <v>0.108</v>
      </c>
      <c r="F76" s="561">
        <v>27</v>
      </c>
      <c r="G76" s="559">
        <v>-15.5</v>
      </c>
    </row>
    <row r="77" spans="2:7" x14ac:dyDescent="0.25">
      <c r="B77" s="545"/>
    </row>
    <row r="78" spans="2:7" x14ac:dyDescent="0.25">
      <c r="B78" s="545" t="s">
        <v>491</v>
      </c>
    </row>
    <row r="79" spans="2:7" x14ac:dyDescent="0.25">
      <c r="B79" s="545"/>
    </row>
    <row r="80" spans="2:7" x14ac:dyDescent="0.25">
      <c r="B80" s="545"/>
    </row>
    <row r="81" spans="2:2" ht="15.75" x14ac:dyDescent="0.25">
      <c r="B81" s="562" t="s">
        <v>219</v>
      </c>
    </row>
    <row r="82" spans="2:2" x14ac:dyDescent="0.25">
      <c r="B82" s="545" t="s">
        <v>492</v>
      </c>
    </row>
    <row r="83" spans="2:2" x14ac:dyDescent="0.25">
      <c r="B83" s="544" t="s">
        <v>493</v>
      </c>
    </row>
    <row r="84" spans="2:2" x14ac:dyDescent="0.25">
      <c r="B84" s="545" t="s">
        <v>494</v>
      </c>
    </row>
    <row r="85" spans="2:2" x14ac:dyDescent="0.25">
      <c r="B85" s="545"/>
    </row>
    <row r="86" spans="2:2" x14ac:dyDescent="0.25">
      <c r="B86" s="545"/>
    </row>
    <row r="87" spans="2:2" x14ac:dyDescent="0.25">
      <c r="B87" s="545"/>
    </row>
    <row r="88" spans="2:2" ht="15.75" x14ac:dyDescent="0.25">
      <c r="B88" s="562" t="s">
        <v>227</v>
      </c>
    </row>
    <row r="89" spans="2:2" x14ac:dyDescent="0.25">
      <c r="B89" s="545" t="s">
        <v>495</v>
      </c>
    </row>
    <row r="90" spans="2:2" x14ac:dyDescent="0.25">
      <c r="B90" s="544" t="s">
        <v>496</v>
      </c>
    </row>
    <row r="91" spans="2:2" x14ac:dyDescent="0.25">
      <c r="B91" s="545" t="s">
        <v>497</v>
      </c>
    </row>
    <row r="92" spans="2:2" x14ac:dyDescent="0.25">
      <c r="B92" s="545" t="s">
        <v>498</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3"/>
  <sheetViews>
    <sheetView workbookViewId="0">
      <selection activeCell="L33" sqref="L33"/>
    </sheetView>
  </sheetViews>
  <sheetFormatPr defaultRowHeight="15" x14ac:dyDescent="0.25"/>
  <cols>
    <col min="1" max="1" width="9.140625" style="2"/>
    <col min="2" max="2" width="4.85546875" style="2" customWidth="1"/>
    <col min="3" max="3" width="2.7109375" style="2" customWidth="1"/>
    <col min="4" max="4" width="42.28515625" style="2" customWidth="1"/>
    <col min="5" max="16384" width="9.140625" style="2"/>
  </cols>
  <sheetData>
    <row r="2" spans="2:5" x14ac:dyDescent="0.25">
      <c r="E2" s="14"/>
    </row>
    <row r="7" spans="2:5" ht="20.25" x14ac:dyDescent="0.3">
      <c r="B7" s="1" t="s">
        <v>229</v>
      </c>
    </row>
    <row r="8" spans="2:5" ht="3.95" customHeight="1" x14ac:dyDescent="0.25"/>
    <row r="9" spans="2:5" ht="18" x14ac:dyDescent="0.25">
      <c r="B9" s="3" t="s">
        <v>177</v>
      </c>
      <c r="E9" s="3"/>
    </row>
    <row r="10" spans="2:5" ht="7.5" customHeight="1" x14ac:dyDescent="0.25">
      <c r="B10" s="3"/>
      <c r="E10" s="3"/>
    </row>
    <row r="11" spans="2:5" ht="15" customHeight="1" x14ac:dyDescent="0.25">
      <c r="B11" s="15">
        <v>1</v>
      </c>
      <c r="C11" s="14"/>
      <c r="D11" s="16" t="s">
        <v>0</v>
      </c>
      <c r="E11" s="3"/>
    </row>
    <row r="12" spans="2:5" ht="6.75" customHeight="1" x14ac:dyDescent="0.25">
      <c r="B12" s="14"/>
    </row>
    <row r="13" spans="2:5" ht="15.75" customHeight="1" x14ac:dyDescent="0.25">
      <c r="B13" s="15">
        <v>2</v>
      </c>
      <c r="C13" s="14"/>
      <c r="D13" s="16" t="s">
        <v>235</v>
      </c>
    </row>
    <row r="14" spans="2:5" ht="6.75" customHeight="1" x14ac:dyDescent="0.25">
      <c r="B14" s="14"/>
    </row>
    <row r="15" spans="2:5" ht="14.25" customHeight="1" x14ac:dyDescent="0.25">
      <c r="B15" s="15">
        <v>3</v>
      </c>
      <c r="C15" s="14"/>
      <c r="D15" s="16" t="s">
        <v>144</v>
      </c>
    </row>
    <row r="16" spans="2:5" ht="7.5" customHeight="1" x14ac:dyDescent="0.25">
      <c r="B16" s="14"/>
    </row>
    <row r="17" spans="1:8" x14ac:dyDescent="0.25">
      <c r="B17" s="15">
        <v>4</v>
      </c>
      <c r="C17" s="14"/>
      <c r="D17" s="16" t="s">
        <v>403</v>
      </c>
      <c r="H17" s="16"/>
    </row>
    <row r="18" spans="1:8" x14ac:dyDescent="0.25">
      <c r="A18" s="18"/>
      <c r="B18" s="536">
        <v>4.0999999999999996</v>
      </c>
      <c r="C18" s="14"/>
      <c r="D18" s="16" t="s">
        <v>174</v>
      </c>
      <c r="H18" s="16"/>
    </row>
    <row r="19" spans="1:8" x14ac:dyDescent="0.25">
      <c r="A19" s="18"/>
      <c r="B19" s="536">
        <v>4.2</v>
      </c>
      <c r="C19" s="14"/>
      <c r="D19" s="16" t="s">
        <v>157</v>
      </c>
      <c r="H19" s="16"/>
    </row>
    <row r="20" spans="1:8" x14ac:dyDescent="0.25">
      <c r="A20" s="18"/>
      <c r="B20" s="536">
        <v>4.3</v>
      </c>
      <c r="C20" s="14"/>
      <c r="D20" s="16" t="s">
        <v>158</v>
      </c>
      <c r="H20" s="16"/>
    </row>
    <row r="21" spans="1:8" ht="3" customHeight="1" x14ac:dyDescent="0.25">
      <c r="B21" s="15"/>
      <c r="D21" s="16"/>
      <c r="H21" s="16"/>
    </row>
    <row r="22" spans="1:8" ht="21" customHeight="1" x14ac:dyDescent="0.25">
      <c r="B22" s="15">
        <v>5</v>
      </c>
      <c r="D22" s="16" t="s">
        <v>407</v>
      </c>
      <c r="H22" s="16"/>
    </row>
    <row r="23" spans="1:8" ht="10.5" customHeight="1" x14ac:dyDescent="0.25">
      <c r="B23" s="15"/>
      <c r="D23" s="16"/>
      <c r="H23" s="16"/>
    </row>
    <row r="24" spans="1:8" x14ac:dyDescent="0.25">
      <c r="B24" s="15">
        <v>6</v>
      </c>
      <c r="C24" s="14"/>
      <c r="D24" s="16" t="s">
        <v>573</v>
      </c>
      <c r="H24" s="16"/>
    </row>
    <row r="25" spans="1:8" ht="10.5" customHeight="1" x14ac:dyDescent="0.25">
      <c r="B25" s="15"/>
      <c r="C25" s="14"/>
      <c r="D25" s="16"/>
      <c r="H25" s="16"/>
    </row>
    <row r="26" spans="1:8" x14ac:dyDescent="0.25">
      <c r="B26" s="15">
        <v>7</v>
      </c>
      <c r="C26" s="14"/>
      <c r="D26" s="16" t="s">
        <v>260</v>
      </c>
      <c r="H26" s="16"/>
    </row>
    <row r="27" spans="1:8" ht="9.75" customHeight="1" x14ac:dyDescent="0.25">
      <c r="B27" s="15"/>
      <c r="D27" s="16"/>
    </row>
    <row r="28" spans="1:8" ht="12.75" customHeight="1" x14ac:dyDescent="0.25">
      <c r="B28" s="15">
        <v>8</v>
      </c>
      <c r="D28" s="16" t="s">
        <v>408</v>
      </c>
    </row>
    <row r="29" spans="1:8" ht="9.75" customHeight="1" x14ac:dyDescent="0.25">
      <c r="B29" s="15"/>
      <c r="D29" s="16"/>
    </row>
    <row r="30" spans="1:8" ht="13.5" customHeight="1" x14ac:dyDescent="0.25">
      <c r="B30" s="15">
        <v>9</v>
      </c>
      <c r="D30" s="16" t="s">
        <v>574</v>
      </c>
    </row>
    <row r="31" spans="1:8" ht="20.25" customHeight="1" x14ac:dyDescent="0.25">
      <c r="B31" s="15">
        <v>10</v>
      </c>
      <c r="C31" s="14"/>
      <c r="D31" s="16" t="s">
        <v>404</v>
      </c>
      <c r="H31" s="16"/>
    </row>
    <row r="32" spans="1:8" ht="7.5" customHeight="1" x14ac:dyDescent="0.25">
      <c r="B32" s="15"/>
      <c r="C32" s="14"/>
      <c r="D32" s="16"/>
      <c r="H32" s="16"/>
    </row>
    <row r="33" spans="2:8" x14ac:dyDescent="0.25">
      <c r="B33" s="15">
        <v>11</v>
      </c>
      <c r="C33" s="14"/>
      <c r="D33" s="16" t="s">
        <v>405</v>
      </c>
      <c r="H33" s="16"/>
    </row>
    <row r="34" spans="2:8" ht="7.5" customHeight="1" x14ac:dyDescent="0.25">
      <c r="B34" s="15"/>
      <c r="C34" s="14"/>
      <c r="D34" s="16"/>
      <c r="H34" s="16"/>
    </row>
    <row r="35" spans="2:8" x14ac:dyDescent="0.25">
      <c r="B35" s="15">
        <v>12</v>
      </c>
      <c r="C35" s="14"/>
      <c r="D35" s="16" t="s">
        <v>406</v>
      </c>
      <c r="H35" s="16"/>
    </row>
    <row r="36" spans="2:8" ht="7.5" customHeight="1" x14ac:dyDescent="0.25">
      <c r="B36" s="15"/>
      <c r="C36" s="14"/>
      <c r="D36" s="16"/>
      <c r="H36" s="16"/>
    </row>
    <row r="38" spans="2:8" x14ac:dyDescent="0.25">
      <c r="B38" s="15"/>
      <c r="C38" s="14"/>
      <c r="D38" s="16"/>
    </row>
    <row r="39" spans="2:8" x14ac:dyDescent="0.25">
      <c r="B39" s="17"/>
      <c r="D39" s="16"/>
    </row>
    <row r="40" spans="2:8" x14ac:dyDescent="0.25">
      <c r="B40" s="17"/>
      <c r="C40" s="7"/>
      <c r="D40" s="142"/>
      <c r="E40" s="7"/>
      <c r="F40" s="7"/>
      <c r="G40" s="7"/>
    </row>
    <row r="41" spans="2:8" x14ac:dyDescent="0.25">
      <c r="B41" s="15"/>
      <c r="C41" s="54"/>
      <c r="D41" s="142"/>
      <c r="E41" s="7"/>
      <c r="F41" s="7"/>
      <c r="G41" s="7"/>
    </row>
    <row r="42" spans="2:8" x14ac:dyDescent="0.25">
      <c r="B42" s="15"/>
      <c r="C42" s="54"/>
      <c r="D42" s="142"/>
      <c r="E42" s="7"/>
      <c r="F42" s="7"/>
      <c r="G42" s="7"/>
    </row>
    <row r="43" spans="2:8" x14ac:dyDescent="0.25">
      <c r="B43" s="15"/>
      <c r="C43" s="54"/>
      <c r="D43" s="142"/>
      <c r="E43" s="7"/>
      <c r="F43" s="7"/>
      <c r="G43" s="7"/>
    </row>
  </sheetData>
  <hyperlinks>
    <hyperlink ref="D11" location="'1.Disclaimer'!B8" display="Disclaimers"/>
    <hyperlink ref="D17" location="'4.Turnover'!B8" display="Wagering turnover by racing code"/>
    <hyperlink ref="D24" location="'6.ScenarioC'!B8" display="Scenarios C1 and C2: Temporary and permanent funding"/>
    <hyperlink ref="D26" location="'7.ScenarioD'!B8" display="Scenario D: Race fields levy cap removal"/>
    <hyperlink ref="D31" location="'Appendix A Definition'!B8" display="Appendix A Definition"/>
    <hyperlink ref="D15" location="'3.Summary'!B8" display="Summary"/>
    <hyperlink ref="D22" location="'5.ScenarioB'!B8" display="Scenario B: $154m funding plus differential tax benefits"/>
    <hyperlink ref="D28" location="'8.ScenarioE'!B8" display="Scenario E: Wagering tax rate in align with Vic tax rate"/>
    <hyperlink ref="D13" location="'2.Scenarios'!B8" display="Scenarios"/>
    <hyperlink ref="D33" location="'Appendix B State Taxes'!B8" display="Appendix B State taxes"/>
    <hyperlink ref="D35" location="'Appendix C Industry details'!B8" display="Appendix C Industry details"/>
    <hyperlink ref="D18" location="'4.Turnover'!B13" display="Thoroughbred"/>
    <hyperlink ref="D19" location="'4.Turnover'!B36" display="Greyhound"/>
    <hyperlink ref="D20" location="'4.Turnover'!B59" display="Harness"/>
    <hyperlink ref="D30" location="'9. Figures'!B8" display="Figures"/>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X29"/>
  <sheetViews>
    <sheetView workbookViewId="0">
      <selection activeCell="B8" sqref="B8"/>
    </sheetView>
  </sheetViews>
  <sheetFormatPr defaultRowHeight="15" x14ac:dyDescent="0.25"/>
  <cols>
    <col min="1" max="1" width="3.5703125" style="2" customWidth="1"/>
    <col min="2" max="16384" width="9.140625" style="2"/>
  </cols>
  <sheetData>
    <row r="7" spans="2:24" ht="20.25" x14ac:dyDescent="0.3">
      <c r="B7" s="1" t="str">
        <f>Index!B7</f>
        <v>Economic effects of fiscal support for the NSW GREYHOUND racing industry: DRAFT</v>
      </c>
    </row>
    <row r="8" spans="2:24" ht="20.25" customHeight="1" x14ac:dyDescent="0.25">
      <c r="B8" s="3" t="s">
        <v>178</v>
      </c>
    </row>
    <row r="9" spans="2:24" ht="18.75" customHeight="1" x14ac:dyDescent="0.25"/>
    <row r="10" spans="2:24" x14ac:dyDescent="0.25">
      <c r="B10" s="214" t="s">
        <v>145</v>
      </c>
      <c r="C10" s="215"/>
      <c r="D10" s="215"/>
      <c r="E10" s="215"/>
      <c r="F10" s="215"/>
      <c r="G10" s="215"/>
      <c r="H10" s="215"/>
      <c r="I10" s="215"/>
      <c r="J10" s="215"/>
      <c r="K10" s="215"/>
      <c r="L10" s="215"/>
      <c r="M10" s="215"/>
      <c r="N10" s="215"/>
      <c r="O10" s="216"/>
    </row>
    <row r="11" spans="2:24" x14ac:dyDescent="0.25">
      <c r="B11" s="217" t="s">
        <v>32</v>
      </c>
      <c r="C11" s="64"/>
      <c r="D11" s="64"/>
      <c r="E11" s="64"/>
      <c r="F11" s="64"/>
      <c r="G11" s="64"/>
      <c r="H11" s="64"/>
      <c r="I11" s="64"/>
      <c r="J11" s="64"/>
      <c r="K11" s="64"/>
      <c r="L11" s="64"/>
      <c r="M11" s="64"/>
      <c r="N11" s="64"/>
      <c r="O11" s="218"/>
    </row>
    <row r="12" spans="2:24" x14ac:dyDescent="0.25">
      <c r="B12" s="219" t="s">
        <v>1</v>
      </c>
      <c r="C12" s="220"/>
      <c r="D12" s="220"/>
      <c r="E12" s="220"/>
      <c r="F12" s="220"/>
      <c r="G12" s="220"/>
      <c r="H12" s="220"/>
      <c r="I12" s="220"/>
      <c r="J12" s="220"/>
      <c r="K12" s="220"/>
      <c r="L12" s="220"/>
      <c r="M12" s="220"/>
      <c r="N12" s="220"/>
      <c r="O12" s="221"/>
      <c r="P12" s="9"/>
      <c r="Q12" s="9"/>
      <c r="R12" s="9"/>
      <c r="S12" s="9"/>
      <c r="T12" s="9"/>
      <c r="U12" s="9"/>
      <c r="V12" s="9"/>
      <c r="W12" s="9"/>
      <c r="X12" s="9"/>
    </row>
    <row r="13" spans="2:24" ht="9.75" customHeight="1" x14ac:dyDescent="0.25">
      <c r="B13" s="217"/>
      <c r="C13" s="64"/>
      <c r="D13" s="64"/>
      <c r="E13" s="64"/>
      <c r="F13" s="64"/>
      <c r="G13" s="64"/>
      <c r="H13" s="64"/>
      <c r="I13" s="64"/>
      <c r="J13" s="64"/>
      <c r="K13" s="64"/>
      <c r="L13" s="64"/>
      <c r="M13" s="64"/>
      <c r="N13" s="64"/>
      <c r="O13" s="218"/>
    </row>
    <row r="14" spans="2:24" ht="15" customHeight="1" x14ac:dyDescent="0.25">
      <c r="B14" s="219" t="s">
        <v>140</v>
      </c>
      <c r="C14" s="222"/>
      <c r="D14" s="222"/>
      <c r="E14" s="222"/>
      <c r="F14" s="222"/>
      <c r="G14" s="222"/>
      <c r="H14" s="222"/>
      <c r="I14" s="222"/>
      <c r="J14" s="222"/>
      <c r="K14" s="222"/>
      <c r="L14" s="222"/>
      <c r="M14" s="222"/>
      <c r="N14" s="222"/>
      <c r="O14" s="223"/>
      <c r="P14" s="10"/>
      <c r="Q14" s="10"/>
      <c r="R14" s="10"/>
      <c r="S14" s="10"/>
      <c r="T14" s="10"/>
      <c r="U14" s="10"/>
      <c r="V14" s="10"/>
      <c r="W14" s="10"/>
      <c r="X14" s="10"/>
    </row>
    <row r="15" spans="2:24" x14ac:dyDescent="0.25">
      <c r="B15" s="219" t="s">
        <v>2</v>
      </c>
      <c r="C15" s="64"/>
      <c r="D15" s="64"/>
      <c r="E15" s="64"/>
      <c r="F15" s="64"/>
      <c r="G15" s="64"/>
      <c r="H15" s="64"/>
      <c r="I15" s="64"/>
      <c r="J15" s="64"/>
      <c r="K15" s="64"/>
      <c r="L15" s="64"/>
      <c r="M15" s="64"/>
      <c r="N15" s="64"/>
      <c r="O15" s="218"/>
    </row>
    <row r="16" spans="2:24" ht="6" customHeight="1" x14ac:dyDescent="0.25">
      <c r="B16" s="219"/>
      <c r="C16" s="64"/>
      <c r="D16" s="64"/>
      <c r="E16" s="64"/>
      <c r="F16" s="64"/>
      <c r="G16" s="64"/>
      <c r="H16" s="64"/>
      <c r="I16" s="64"/>
      <c r="J16" s="64"/>
      <c r="K16" s="64"/>
      <c r="L16" s="64"/>
      <c r="M16" s="64"/>
      <c r="N16" s="64"/>
      <c r="O16" s="218"/>
    </row>
    <row r="17" spans="2:15" x14ac:dyDescent="0.25">
      <c r="B17" s="217" t="s">
        <v>141</v>
      </c>
      <c r="C17" s="64"/>
      <c r="D17" s="64"/>
      <c r="E17" s="64"/>
      <c r="F17" s="64"/>
      <c r="G17" s="64"/>
      <c r="H17" s="64"/>
      <c r="I17" s="64"/>
      <c r="J17" s="64"/>
      <c r="K17" s="64"/>
      <c r="L17" s="64"/>
      <c r="M17" s="64"/>
      <c r="N17" s="64"/>
      <c r="O17" s="218"/>
    </row>
    <row r="18" spans="2:15" ht="6.75" customHeight="1" x14ac:dyDescent="0.25">
      <c r="B18" s="217"/>
      <c r="C18" s="64"/>
      <c r="D18" s="64"/>
      <c r="E18" s="64"/>
      <c r="F18" s="64"/>
      <c r="G18" s="64"/>
      <c r="H18" s="64"/>
      <c r="I18" s="64"/>
      <c r="J18" s="64"/>
      <c r="K18" s="64"/>
      <c r="L18" s="64"/>
      <c r="M18" s="64"/>
      <c r="N18" s="64"/>
      <c r="O18" s="218"/>
    </row>
    <row r="19" spans="2:15" x14ac:dyDescent="0.25">
      <c r="B19" s="217" t="s">
        <v>3</v>
      </c>
      <c r="C19" s="64"/>
      <c r="D19" s="64"/>
      <c r="E19" s="64"/>
      <c r="F19" s="64"/>
      <c r="G19" s="64"/>
      <c r="H19" s="64"/>
      <c r="I19" s="64"/>
      <c r="J19" s="64"/>
      <c r="K19" s="64"/>
      <c r="L19" s="64"/>
      <c r="M19" s="64"/>
      <c r="N19" s="64"/>
      <c r="O19" s="218"/>
    </row>
    <row r="20" spans="2:15" ht="6" customHeight="1" x14ac:dyDescent="0.25">
      <c r="B20" s="217"/>
      <c r="C20" s="64"/>
      <c r="D20" s="64"/>
      <c r="E20" s="64"/>
      <c r="F20" s="64"/>
      <c r="G20" s="64"/>
      <c r="H20" s="64"/>
      <c r="I20" s="64"/>
      <c r="J20" s="64"/>
      <c r="K20" s="64"/>
      <c r="L20" s="64"/>
      <c r="M20" s="64"/>
      <c r="N20" s="64"/>
      <c r="O20" s="218"/>
    </row>
    <row r="21" spans="2:15" x14ac:dyDescent="0.25">
      <c r="B21" s="217" t="s">
        <v>142</v>
      </c>
      <c r="C21" s="64"/>
      <c r="D21" s="64"/>
      <c r="E21" s="64"/>
      <c r="F21" s="64"/>
      <c r="G21" s="64"/>
      <c r="H21" s="64"/>
      <c r="I21" s="64"/>
      <c r="J21" s="64"/>
      <c r="K21" s="64"/>
      <c r="L21" s="64"/>
      <c r="M21" s="64"/>
      <c r="N21" s="64"/>
      <c r="O21" s="218"/>
    </row>
    <row r="22" spans="2:15" x14ac:dyDescent="0.25">
      <c r="B22" s="217" t="s">
        <v>4</v>
      </c>
      <c r="C22" s="64"/>
      <c r="D22" s="64"/>
      <c r="E22" s="64"/>
      <c r="F22" s="64"/>
      <c r="G22" s="64"/>
      <c r="H22" s="64"/>
      <c r="I22" s="64"/>
      <c r="J22" s="64"/>
      <c r="K22" s="64"/>
      <c r="L22" s="64"/>
      <c r="M22" s="64"/>
      <c r="N22" s="64"/>
      <c r="O22" s="218"/>
    </row>
    <row r="23" spans="2:15" ht="6.75" customHeight="1" x14ac:dyDescent="0.25">
      <c r="B23" s="217"/>
      <c r="C23" s="64"/>
      <c r="D23" s="64"/>
      <c r="E23" s="64"/>
      <c r="F23" s="64"/>
      <c r="G23" s="64"/>
      <c r="H23" s="64"/>
      <c r="I23" s="64"/>
      <c r="J23" s="64"/>
      <c r="K23" s="64"/>
      <c r="L23" s="64"/>
      <c r="M23" s="64"/>
      <c r="N23" s="64"/>
      <c r="O23" s="218"/>
    </row>
    <row r="24" spans="2:15" x14ac:dyDescent="0.25">
      <c r="B24" s="217" t="s">
        <v>143</v>
      </c>
      <c r="C24" s="64"/>
      <c r="D24" s="64"/>
      <c r="E24" s="64"/>
      <c r="F24" s="64"/>
      <c r="G24" s="64"/>
      <c r="H24" s="64"/>
      <c r="I24" s="64"/>
      <c r="J24" s="64"/>
      <c r="K24" s="64"/>
      <c r="L24" s="64"/>
      <c r="M24" s="64"/>
      <c r="N24" s="64"/>
      <c r="O24" s="218"/>
    </row>
    <row r="25" spans="2:15" x14ac:dyDescent="0.25">
      <c r="B25" s="217" t="s">
        <v>5</v>
      </c>
      <c r="C25" s="64"/>
      <c r="D25" s="64"/>
      <c r="E25" s="64"/>
      <c r="F25" s="64"/>
      <c r="G25" s="64"/>
      <c r="H25" s="64"/>
      <c r="I25" s="64"/>
      <c r="J25" s="64"/>
      <c r="K25" s="64"/>
      <c r="L25" s="64"/>
      <c r="M25" s="64"/>
      <c r="N25" s="64"/>
      <c r="O25" s="218"/>
    </row>
    <row r="26" spans="2:15" x14ac:dyDescent="0.25">
      <c r="B26" s="217" t="s">
        <v>6</v>
      </c>
      <c r="C26" s="64"/>
      <c r="D26" s="64"/>
      <c r="E26" s="64"/>
      <c r="F26" s="64"/>
      <c r="G26" s="64"/>
      <c r="H26" s="64"/>
      <c r="I26" s="64"/>
      <c r="J26" s="64"/>
      <c r="K26" s="64"/>
      <c r="L26" s="64"/>
      <c r="M26" s="64"/>
      <c r="N26" s="64"/>
      <c r="O26" s="218"/>
    </row>
    <row r="27" spans="2:15" ht="6" customHeight="1" x14ac:dyDescent="0.25">
      <c r="B27" s="217"/>
      <c r="C27" s="64"/>
      <c r="D27" s="64"/>
      <c r="E27" s="64"/>
      <c r="F27" s="64"/>
      <c r="G27" s="64"/>
      <c r="H27" s="64"/>
      <c r="I27" s="64"/>
      <c r="J27" s="64"/>
      <c r="K27" s="64"/>
      <c r="L27" s="64"/>
      <c r="M27" s="64"/>
      <c r="N27" s="64"/>
      <c r="O27" s="218"/>
    </row>
    <row r="28" spans="2:15" x14ac:dyDescent="0.25">
      <c r="B28" s="217" t="s">
        <v>7</v>
      </c>
      <c r="C28" s="64"/>
      <c r="D28" s="64"/>
      <c r="E28" s="64"/>
      <c r="F28" s="64"/>
      <c r="G28" s="64"/>
      <c r="H28" s="64"/>
      <c r="I28" s="64"/>
      <c r="J28" s="64"/>
      <c r="K28" s="64"/>
      <c r="L28" s="64"/>
      <c r="M28" s="64"/>
      <c r="N28" s="64"/>
      <c r="O28" s="218"/>
    </row>
    <row r="29" spans="2:15" ht="8.25" customHeight="1" x14ac:dyDescent="0.25">
      <c r="B29" s="224"/>
      <c r="C29" s="225"/>
      <c r="D29" s="225"/>
      <c r="E29" s="225"/>
      <c r="F29" s="225"/>
      <c r="G29" s="225"/>
      <c r="H29" s="225"/>
      <c r="I29" s="225"/>
      <c r="J29" s="225"/>
      <c r="K29" s="225"/>
      <c r="L29" s="225"/>
      <c r="M29" s="225"/>
      <c r="N29" s="225"/>
      <c r="O29" s="226"/>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topLeftCell="A8" workbookViewId="0">
      <selection activeCell="B8" sqref="B8"/>
    </sheetView>
  </sheetViews>
  <sheetFormatPr defaultRowHeight="15" x14ac:dyDescent="0.25"/>
  <cols>
    <col min="1" max="1" width="1.28515625" style="2" customWidth="1"/>
    <col min="2" max="2" width="7.7109375" style="2" customWidth="1"/>
    <col min="3" max="3" width="5.7109375" style="2" customWidth="1"/>
    <col min="4" max="4" width="83.140625" style="2" customWidth="1"/>
    <col min="5" max="5" width="62.28515625" style="2" customWidth="1"/>
    <col min="6" max="6" width="26.7109375" style="2" customWidth="1"/>
    <col min="7" max="16384" width="9.140625" style="2"/>
  </cols>
  <sheetData>
    <row r="1" spans="1:6" s="7" customFormat="1" x14ac:dyDescent="0.25"/>
    <row r="2" spans="1:6" s="7" customFormat="1" x14ac:dyDescent="0.25"/>
    <row r="3" spans="1:6" s="7" customFormat="1" x14ac:dyDescent="0.25"/>
    <row r="4" spans="1:6" s="7" customFormat="1" x14ac:dyDescent="0.25"/>
    <row r="5" spans="1:6" s="7" customFormat="1" x14ac:dyDescent="0.25"/>
    <row r="6" spans="1:6" s="7" customFormat="1" x14ac:dyDescent="0.25"/>
    <row r="7" spans="1:6" s="7" customFormat="1" ht="20.25" x14ac:dyDescent="0.3">
      <c r="B7" s="1" t="str">
        <f>Index!B7</f>
        <v>Economic effects of fiscal support for the NSW GREYHOUND racing industry: DRAFT</v>
      </c>
    </row>
    <row r="8" spans="1:6" s="7" customFormat="1" ht="22.5" customHeight="1" x14ac:dyDescent="0.25">
      <c r="B8" s="3" t="s">
        <v>180</v>
      </c>
    </row>
    <row r="9" spans="1:6" s="7" customFormat="1" ht="34.5" customHeight="1" x14ac:dyDescent="0.25">
      <c r="B9" s="205"/>
    </row>
    <row r="10" spans="1:6" x14ac:dyDescent="0.25">
      <c r="A10" s="8"/>
      <c r="B10" s="43"/>
      <c r="C10" s="44"/>
      <c r="D10" s="227" t="s">
        <v>182</v>
      </c>
      <c r="E10" s="232" t="s">
        <v>183</v>
      </c>
      <c r="F10" s="232" t="s">
        <v>184</v>
      </c>
    </row>
    <row r="11" spans="1:6" ht="24.75" customHeight="1" x14ac:dyDescent="0.25">
      <c r="A11" s="8"/>
      <c r="B11" s="33" t="s">
        <v>181</v>
      </c>
      <c r="C11" s="8"/>
      <c r="D11" s="228" t="s">
        <v>185</v>
      </c>
      <c r="E11" s="233" t="s">
        <v>189</v>
      </c>
      <c r="F11" s="147" t="s">
        <v>189</v>
      </c>
    </row>
    <row r="12" spans="1:6" x14ac:dyDescent="0.25">
      <c r="A12" s="8"/>
      <c r="B12" s="7"/>
      <c r="C12" s="8"/>
      <c r="D12" s="228" t="s">
        <v>186</v>
      </c>
      <c r="E12" s="147"/>
      <c r="F12" s="147"/>
    </row>
    <row r="13" spans="1:6" x14ac:dyDescent="0.25">
      <c r="A13" s="8"/>
      <c r="B13" s="7"/>
      <c r="C13" s="8"/>
      <c r="D13" s="228" t="s">
        <v>187</v>
      </c>
      <c r="E13" s="147"/>
      <c r="F13" s="147"/>
    </row>
    <row r="14" spans="1:6" x14ac:dyDescent="0.25">
      <c r="A14" s="8"/>
      <c r="B14" s="12"/>
      <c r="C14" s="13"/>
      <c r="D14" s="229" t="s">
        <v>188</v>
      </c>
      <c r="E14" s="148"/>
      <c r="F14" s="148"/>
    </row>
    <row r="15" spans="1:6" ht="8.25" customHeight="1" x14ac:dyDescent="0.25">
      <c r="A15" s="8"/>
      <c r="B15" s="7"/>
      <c r="C15" s="8"/>
      <c r="D15" s="24"/>
      <c r="E15" s="147"/>
      <c r="F15" s="147"/>
    </row>
    <row r="16" spans="1:6" ht="15.75" x14ac:dyDescent="0.25">
      <c r="A16" s="8"/>
      <c r="B16" s="33" t="s">
        <v>190</v>
      </c>
      <c r="C16" s="8"/>
      <c r="D16" s="8"/>
      <c r="E16" s="147" t="s">
        <v>236</v>
      </c>
      <c r="F16" s="147" t="s">
        <v>203</v>
      </c>
    </row>
    <row r="17" spans="1:6" x14ac:dyDescent="0.25">
      <c r="A17" s="8"/>
      <c r="B17" s="54" t="s">
        <v>199</v>
      </c>
      <c r="C17" s="8"/>
      <c r="D17" s="24" t="s">
        <v>191</v>
      </c>
      <c r="E17" s="147" t="s">
        <v>23</v>
      </c>
      <c r="F17" s="147" t="s">
        <v>237</v>
      </c>
    </row>
    <row r="18" spans="1:6" x14ac:dyDescent="0.25">
      <c r="A18" s="8"/>
      <c r="B18" s="7"/>
      <c r="C18" s="8"/>
      <c r="D18" s="24" t="s">
        <v>192</v>
      </c>
      <c r="E18" s="147" t="s">
        <v>24</v>
      </c>
      <c r="F18" s="147" t="s">
        <v>238</v>
      </c>
    </row>
    <row r="19" spans="1:6" x14ac:dyDescent="0.25">
      <c r="A19" s="8"/>
      <c r="B19" s="7"/>
      <c r="C19" s="8"/>
      <c r="D19" s="24" t="s">
        <v>201</v>
      </c>
      <c r="E19" s="147" t="s">
        <v>25</v>
      </c>
      <c r="F19" s="147"/>
    </row>
    <row r="20" spans="1:6" x14ac:dyDescent="0.25">
      <c r="A20" s="8"/>
      <c r="B20" s="7"/>
      <c r="C20" s="8"/>
      <c r="D20" s="8"/>
      <c r="E20" s="147" t="s">
        <v>26</v>
      </c>
      <c r="F20" s="147"/>
    </row>
    <row r="21" spans="1:6" x14ac:dyDescent="0.25">
      <c r="A21" s="8"/>
      <c r="B21" s="7"/>
      <c r="C21" s="8"/>
      <c r="D21" s="8"/>
      <c r="E21" s="147" t="s">
        <v>27</v>
      </c>
      <c r="F21" s="147"/>
    </row>
    <row r="22" spans="1:6" x14ac:dyDescent="0.25">
      <c r="A22" s="8"/>
      <c r="B22" s="12"/>
      <c r="C22" s="13"/>
      <c r="D22" s="13"/>
      <c r="E22" s="148" t="s">
        <v>197</v>
      </c>
      <c r="F22" s="148"/>
    </row>
    <row r="23" spans="1:6" ht="7.5" customHeight="1" x14ac:dyDescent="0.25">
      <c r="A23" s="8"/>
      <c r="B23" s="7"/>
      <c r="C23" s="8"/>
      <c r="D23" s="8"/>
      <c r="E23" s="234"/>
      <c r="F23" s="234"/>
    </row>
    <row r="24" spans="1:6" ht="9" customHeight="1" x14ac:dyDescent="0.25">
      <c r="A24" s="8"/>
      <c r="B24" s="7"/>
      <c r="C24" s="8"/>
      <c r="D24" s="8"/>
      <c r="E24" s="234"/>
      <c r="F24" s="234"/>
    </row>
    <row r="25" spans="1:6" ht="7.5" customHeight="1" x14ac:dyDescent="0.25">
      <c r="A25" s="8"/>
      <c r="B25" s="7"/>
      <c r="C25" s="8"/>
      <c r="D25" s="8"/>
      <c r="E25" s="234"/>
      <c r="F25" s="234"/>
    </row>
    <row r="26" spans="1:6" x14ac:dyDescent="0.25">
      <c r="A26" s="8"/>
      <c r="B26" s="54" t="s">
        <v>200</v>
      </c>
      <c r="C26" s="8"/>
      <c r="D26" s="24" t="s">
        <v>202</v>
      </c>
      <c r="E26" s="147" t="s">
        <v>198</v>
      </c>
      <c r="F26" s="147" t="s">
        <v>203</v>
      </c>
    </row>
    <row r="27" spans="1:6" x14ac:dyDescent="0.25">
      <c r="A27" s="8"/>
      <c r="B27" s="7"/>
      <c r="C27" s="8"/>
      <c r="D27" s="24" t="s">
        <v>193</v>
      </c>
      <c r="E27" s="147" t="s">
        <v>205</v>
      </c>
      <c r="F27" s="147" t="s">
        <v>209</v>
      </c>
    </row>
    <row r="28" spans="1:6" x14ac:dyDescent="0.25">
      <c r="A28" s="8"/>
      <c r="B28" s="7"/>
      <c r="C28" s="8"/>
      <c r="D28" s="24" t="s">
        <v>194</v>
      </c>
      <c r="E28" s="147" t="s">
        <v>208</v>
      </c>
      <c r="F28" s="147"/>
    </row>
    <row r="29" spans="1:6" x14ac:dyDescent="0.25">
      <c r="A29" s="8"/>
      <c r="B29" s="7"/>
      <c r="C29" s="8"/>
      <c r="D29" s="24" t="s">
        <v>195</v>
      </c>
      <c r="E29" s="147" t="s">
        <v>204</v>
      </c>
      <c r="F29" s="234"/>
    </row>
    <row r="30" spans="1:6" x14ac:dyDescent="0.25">
      <c r="A30" s="8"/>
      <c r="B30" s="12"/>
      <c r="C30" s="13"/>
      <c r="D30" s="189" t="s">
        <v>196</v>
      </c>
      <c r="E30" s="235"/>
      <c r="F30" s="235"/>
    </row>
    <row r="31" spans="1:6" ht="6" customHeight="1" x14ac:dyDescent="0.25">
      <c r="A31" s="8"/>
      <c r="B31" s="7"/>
      <c r="C31" s="8"/>
      <c r="D31" s="8"/>
      <c r="E31" s="234"/>
      <c r="F31" s="234"/>
    </row>
    <row r="32" spans="1:6" ht="15.75" x14ac:dyDescent="0.25">
      <c r="A32" s="8"/>
      <c r="B32" s="33" t="s">
        <v>210</v>
      </c>
      <c r="C32" s="8"/>
      <c r="D32" s="8"/>
      <c r="E32" s="234"/>
      <c r="F32" s="234"/>
    </row>
    <row r="33" spans="1:6" x14ac:dyDescent="0.25">
      <c r="A33" s="8"/>
      <c r="B33" s="54" t="s">
        <v>199</v>
      </c>
      <c r="C33" s="8"/>
      <c r="D33" s="24" t="s">
        <v>211</v>
      </c>
      <c r="E33" s="234"/>
      <c r="F33" s="234"/>
    </row>
    <row r="34" spans="1:6" x14ac:dyDescent="0.25">
      <c r="A34" s="8"/>
      <c r="B34" s="7"/>
      <c r="C34" s="8"/>
      <c r="D34" s="24" t="s">
        <v>212</v>
      </c>
      <c r="E34" s="234"/>
      <c r="F34" s="234"/>
    </row>
    <row r="35" spans="1:6" x14ac:dyDescent="0.25">
      <c r="A35" s="8"/>
      <c r="B35" s="12"/>
      <c r="C35" s="13"/>
      <c r="D35" s="189" t="s">
        <v>213</v>
      </c>
      <c r="E35" s="235"/>
      <c r="F35" s="235"/>
    </row>
    <row r="36" spans="1:6" x14ac:dyDescent="0.25">
      <c r="A36" s="8"/>
      <c r="B36" s="7"/>
      <c r="C36" s="8"/>
      <c r="D36" s="8"/>
      <c r="E36" s="234"/>
      <c r="F36" s="234"/>
    </row>
    <row r="37" spans="1:6" x14ac:dyDescent="0.25">
      <c r="A37" s="8"/>
      <c r="B37" s="54" t="s">
        <v>200</v>
      </c>
      <c r="C37" s="8"/>
      <c r="D37" s="24" t="s">
        <v>214</v>
      </c>
      <c r="E37" s="234"/>
      <c r="F37" s="234"/>
    </row>
    <row r="38" spans="1:6" x14ac:dyDescent="0.25">
      <c r="A38" s="8"/>
      <c r="B38" s="7"/>
      <c r="C38" s="8"/>
      <c r="D38" s="24" t="s">
        <v>215</v>
      </c>
      <c r="E38" s="234"/>
      <c r="F38" s="234"/>
    </row>
    <row r="39" spans="1:6" x14ac:dyDescent="0.25">
      <c r="A39" s="8"/>
      <c r="B39" s="12"/>
      <c r="C39" s="13"/>
      <c r="D39" s="189" t="s">
        <v>216</v>
      </c>
      <c r="E39" s="235"/>
      <c r="F39" s="235"/>
    </row>
    <row r="40" spans="1:6" x14ac:dyDescent="0.25">
      <c r="A40" s="8"/>
      <c r="B40" s="7"/>
      <c r="C40" s="8"/>
      <c r="D40" s="8"/>
      <c r="E40" s="234"/>
      <c r="F40" s="234"/>
    </row>
    <row r="41" spans="1:6" x14ac:dyDescent="0.25">
      <c r="A41" s="8"/>
      <c r="B41" s="54" t="s">
        <v>200</v>
      </c>
      <c r="C41" s="8"/>
      <c r="D41" s="24" t="s">
        <v>217</v>
      </c>
      <c r="E41" s="234"/>
      <c r="F41" s="234"/>
    </row>
    <row r="42" spans="1:6" x14ac:dyDescent="0.25">
      <c r="A42" s="8"/>
      <c r="B42" s="12"/>
      <c r="C42" s="13"/>
      <c r="D42" s="189" t="s">
        <v>218</v>
      </c>
      <c r="E42" s="235"/>
      <c r="F42" s="235"/>
    </row>
    <row r="43" spans="1:6" x14ac:dyDescent="0.25">
      <c r="A43" s="8"/>
      <c r="B43" s="7"/>
      <c r="C43" s="8"/>
      <c r="D43" s="8"/>
      <c r="E43" s="234"/>
      <c r="F43" s="234"/>
    </row>
    <row r="44" spans="1:6" ht="15.75" x14ac:dyDescent="0.25">
      <c r="A44" s="8"/>
      <c r="B44" s="33" t="s">
        <v>219</v>
      </c>
      <c r="C44" s="8"/>
      <c r="D44" s="8"/>
      <c r="E44" s="234"/>
      <c r="F44" s="234"/>
    </row>
    <row r="45" spans="1:6" x14ac:dyDescent="0.25">
      <c r="A45" s="8"/>
      <c r="B45" s="7"/>
      <c r="C45" s="8"/>
      <c r="D45" s="24" t="s">
        <v>220</v>
      </c>
      <c r="E45" s="234"/>
      <c r="F45" s="234"/>
    </row>
    <row r="46" spans="1:6" x14ac:dyDescent="0.25">
      <c r="A46" s="8"/>
      <c r="B46" s="7"/>
      <c r="C46" s="8"/>
      <c r="D46" s="24" t="s">
        <v>221</v>
      </c>
      <c r="E46" s="234"/>
      <c r="F46" s="234"/>
    </row>
    <row r="47" spans="1:6" x14ac:dyDescent="0.25">
      <c r="A47" s="8"/>
      <c r="B47" s="7"/>
      <c r="C47" s="8"/>
      <c r="D47" s="24" t="s">
        <v>222</v>
      </c>
      <c r="E47" s="234"/>
      <c r="F47" s="234"/>
    </row>
    <row r="48" spans="1:6" x14ac:dyDescent="0.25">
      <c r="A48" s="8"/>
      <c r="B48" s="7"/>
      <c r="C48" s="8"/>
      <c r="D48" s="230" t="s">
        <v>223</v>
      </c>
      <c r="E48" s="234"/>
      <c r="F48" s="234"/>
    </row>
    <row r="49" spans="1:6" x14ac:dyDescent="0.25">
      <c r="A49" s="8"/>
      <c r="B49" s="7"/>
      <c r="C49" s="8"/>
      <c r="D49" s="24" t="s">
        <v>224</v>
      </c>
      <c r="E49" s="234"/>
      <c r="F49" s="234"/>
    </row>
    <row r="50" spans="1:6" x14ac:dyDescent="0.25">
      <c r="A50" s="8"/>
      <c r="B50" s="7"/>
      <c r="C50" s="8"/>
      <c r="D50" s="24" t="s">
        <v>225</v>
      </c>
      <c r="E50" s="234"/>
      <c r="F50" s="234"/>
    </row>
    <row r="51" spans="1:6" x14ac:dyDescent="0.25">
      <c r="A51" s="8"/>
      <c r="B51" s="11"/>
      <c r="C51" s="13"/>
      <c r="D51" s="189" t="s">
        <v>226</v>
      </c>
      <c r="E51" s="13"/>
      <c r="F51" s="235"/>
    </row>
    <row r="52" spans="1:6" x14ac:dyDescent="0.25">
      <c r="A52" s="7"/>
      <c r="B52" s="538"/>
      <c r="C52" s="5"/>
      <c r="D52" s="8"/>
      <c r="E52" s="542" t="s">
        <v>425</v>
      </c>
      <c r="F52" s="543"/>
    </row>
    <row r="53" spans="1:6" ht="15.75" x14ac:dyDescent="0.25">
      <c r="A53" s="7"/>
      <c r="B53" s="539" t="s">
        <v>227</v>
      </c>
      <c r="C53" s="8"/>
      <c r="D53" s="234"/>
      <c r="E53" s="147" t="s">
        <v>426</v>
      </c>
      <c r="F53" s="147" t="s">
        <v>244</v>
      </c>
    </row>
    <row r="54" spans="1:6" x14ac:dyDescent="0.25">
      <c r="A54" s="7"/>
      <c r="B54" s="6"/>
      <c r="C54" s="8"/>
      <c r="D54" s="147" t="s">
        <v>228</v>
      </c>
      <c r="E54" s="147" t="s">
        <v>427</v>
      </c>
      <c r="F54" s="147" t="s">
        <v>245</v>
      </c>
    </row>
    <row r="55" spans="1:6" x14ac:dyDescent="0.25">
      <c r="A55" s="7"/>
      <c r="B55" s="6"/>
      <c r="C55" s="8"/>
      <c r="D55" s="540" t="s">
        <v>241</v>
      </c>
      <c r="E55" s="147" t="s">
        <v>428</v>
      </c>
      <c r="F55" s="234"/>
    </row>
    <row r="56" spans="1:6" x14ac:dyDescent="0.25">
      <c r="A56" s="7"/>
      <c r="B56" s="6"/>
      <c r="C56" s="8"/>
      <c r="D56" s="540" t="s">
        <v>242</v>
      </c>
      <c r="E56" s="147" t="s">
        <v>429</v>
      </c>
      <c r="F56" s="234"/>
    </row>
    <row r="57" spans="1:6" x14ac:dyDescent="0.25">
      <c r="A57" s="7"/>
      <c r="B57" s="6"/>
      <c r="C57" s="8"/>
      <c r="D57" s="541" t="s">
        <v>243</v>
      </c>
      <c r="E57" s="147" t="s">
        <v>430</v>
      </c>
      <c r="F57" s="234"/>
    </row>
    <row r="58" spans="1:6" x14ac:dyDescent="0.25">
      <c r="A58" s="7"/>
      <c r="B58" s="6"/>
      <c r="C58" s="8"/>
      <c r="D58" s="485">
        <f>7.6%/19.11%*159</f>
        <v>63.233908948194667</v>
      </c>
      <c r="E58" s="147" t="s">
        <v>431</v>
      </c>
      <c r="F58" s="234"/>
    </row>
    <row r="59" spans="1:6" x14ac:dyDescent="0.25">
      <c r="A59" s="7"/>
      <c r="B59" s="6"/>
      <c r="C59" s="8"/>
      <c r="D59" s="485">
        <f>159-D58</f>
        <v>95.766091051805333</v>
      </c>
      <c r="E59" s="147" t="s">
        <v>432</v>
      </c>
      <c r="F59" s="234"/>
    </row>
    <row r="60" spans="1:6" x14ac:dyDescent="0.25">
      <c r="A60" s="7"/>
      <c r="B60" s="6"/>
      <c r="C60" s="8"/>
      <c r="D60" s="485">
        <f>D59*13%</f>
        <v>12.449591836734694</v>
      </c>
      <c r="E60" s="147" t="s">
        <v>433</v>
      </c>
      <c r="F60" s="234"/>
    </row>
    <row r="61" spans="1:6" x14ac:dyDescent="0.25">
      <c r="B61" s="6"/>
      <c r="C61" s="8"/>
      <c r="D61" s="234"/>
      <c r="E61" s="147" t="s">
        <v>434</v>
      </c>
      <c r="F61" s="234"/>
    </row>
    <row r="62" spans="1:6" x14ac:dyDescent="0.25">
      <c r="B62" s="6"/>
      <c r="C62" s="8"/>
      <c r="D62" s="8"/>
      <c r="E62" s="147" t="s">
        <v>435</v>
      </c>
      <c r="F62" s="234"/>
    </row>
    <row r="63" spans="1:6" x14ac:dyDescent="0.25">
      <c r="B63" s="6"/>
      <c r="C63" s="8"/>
      <c r="D63" s="8"/>
      <c r="E63" s="147" t="s">
        <v>436</v>
      </c>
      <c r="F63" s="234"/>
    </row>
    <row r="64" spans="1:6" x14ac:dyDescent="0.25">
      <c r="B64" s="11"/>
      <c r="C64" s="13"/>
      <c r="D64" s="13"/>
      <c r="E64" s="148" t="s">
        <v>437</v>
      </c>
      <c r="F64" s="235"/>
    </row>
    <row r="68" spans="2:2" x14ac:dyDescent="0.25">
      <c r="B68" s="18"/>
    </row>
    <row r="69" spans="2:2" x14ac:dyDescent="0.25">
      <c r="B69" s="18" t="s">
        <v>410</v>
      </c>
    </row>
    <row r="70" spans="2:2" x14ac:dyDescent="0.25">
      <c r="B70" s="18" t="s">
        <v>411</v>
      </c>
    </row>
    <row r="71" spans="2:2" x14ac:dyDescent="0.25">
      <c r="B71" s="18" t="s">
        <v>417</v>
      </c>
    </row>
    <row r="72" spans="2:2" x14ac:dyDescent="0.25">
      <c r="B72" s="18" t="s">
        <v>418</v>
      </c>
    </row>
    <row r="73" spans="2:2" x14ac:dyDescent="0.25">
      <c r="B73" s="18" t="s">
        <v>409</v>
      </c>
    </row>
    <row r="74" spans="2:2" x14ac:dyDescent="0.25">
      <c r="B74" s="18" t="s">
        <v>419</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7:W40"/>
  <sheetViews>
    <sheetView topLeftCell="A9" zoomScaleNormal="100" workbookViewId="0">
      <selection activeCell="E34" sqref="E34"/>
    </sheetView>
  </sheetViews>
  <sheetFormatPr defaultRowHeight="15" x14ac:dyDescent="0.25"/>
  <cols>
    <col min="1" max="1" width="1" style="7" customWidth="1"/>
    <col min="2" max="2" width="16.28515625" style="7" customWidth="1"/>
    <col min="3" max="3" width="9.28515625" style="7" customWidth="1"/>
    <col min="4" max="4" width="7.7109375" style="7" customWidth="1"/>
    <col min="5" max="5" width="9.42578125" style="7" customWidth="1"/>
    <col min="6" max="6" width="8.42578125" style="7" customWidth="1"/>
    <col min="7" max="7" width="9.85546875" style="7" customWidth="1"/>
    <col min="8" max="8" width="8.5703125" style="7" customWidth="1"/>
    <col min="9" max="9" width="10.140625" style="7" customWidth="1"/>
    <col min="10" max="10" width="8.5703125" style="7" customWidth="1"/>
    <col min="11" max="11" width="9.28515625" style="7" customWidth="1"/>
    <col min="12" max="12" width="8" style="7" customWidth="1"/>
    <col min="13" max="13" width="17.140625" style="7" customWidth="1"/>
    <col min="14" max="14" width="9.140625" style="7" customWidth="1"/>
    <col min="15" max="15" width="8" style="7" customWidth="1"/>
    <col min="16" max="17" width="8.140625" style="7" customWidth="1"/>
    <col min="18" max="18" width="9.5703125" style="7" customWidth="1"/>
    <col min="19" max="20" width="7.85546875" style="7" customWidth="1"/>
    <col min="21" max="21" width="8" style="7" customWidth="1"/>
    <col min="22" max="16384" width="9.140625" style="7"/>
  </cols>
  <sheetData>
    <row r="7" spans="2:23" ht="20.25" x14ac:dyDescent="0.3">
      <c r="B7" s="1" t="str">
        <f>Index!B7</f>
        <v>Economic effects of fiscal support for the NSW GREYHOUND racing industry: DRAFT</v>
      </c>
    </row>
    <row r="8" spans="2:23" ht="33.75" customHeight="1" x14ac:dyDescent="0.25">
      <c r="B8" s="3" t="s">
        <v>179</v>
      </c>
    </row>
    <row r="9" spans="2:23" ht="33.75" customHeight="1" x14ac:dyDescent="0.25">
      <c r="B9" s="3"/>
    </row>
    <row r="10" spans="2:23" ht="13.5" customHeight="1" x14ac:dyDescent="0.25">
      <c r="B10" s="471" t="s">
        <v>578</v>
      </c>
      <c r="C10" s="472"/>
      <c r="D10" s="473"/>
      <c r="E10" s="473"/>
      <c r="F10" s="473"/>
      <c r="G10" s="473"/>
      <c r="H10" s="473"/>
      <c r="I10" s="473"/>
      <c r="J10" s="473"/>
      <c r="K10" s="473"/>
      <c r="M10" s="471" t="s">
        <v>575</v>
      </c>
      <c r="N10" s="472"/>
      <c r="O10" s="473"/>
      <c r="P10" s="473"/>
      <c r="Q10" s="473"/>
      <c r="R10" s="473"/>
      <c r="S10" s="473"/>
      <c r="T10" s="473"/>
      <c r="U10" s="473"/>
      <c r="V10" s="473"/>
    </row>
    <row r="11" spans="2:23" s="35" customFormat="1" ht="12.75" x14ac:dyDescent="0.2">
      <c r="B11" s="471" t="s">
        <v>367</v>
      </c>
      <c r="C11" s="475" t="s">
        <v>23</v>
      </c>
      <c r="D11" s="475" t="s">
        <v>24</v>
      </c>
      <c r="E11" s="475" t="s">
        <v>25</v>
      </c>
      <c r="F11" s="475" t="s">
        <v>26</v>
      </c>
      <c r="G11" s="475" t="s">
        <v>27</v>
      </c>
      <c r="H11" s="475" t="s">
        <v>28</v>
      </c>
      <c r="I11" s="475" t="s">
        <v>29</v>
      </c>
      <c r="J11" s="475" t="s">
        <v>30</v>
      </c>
      <c r="K11" s="474" t="s">
        <v>31</v>
      </c>
      <c r="M11" s="471" t="s">
        <v>367</v>
      </c>
      <c r="N11" s="475" t="s">
        <v>23</v>
      </c>
      <c r="O11" s="475" t="s">
        <v>24</v>
      </c>
      <c r="P11" s="475" t="s">
        <v>25</v>
      </c>
      <c r="Q11" s="475" t="s">
        <v>26</v>
      </c>
      <c r="R11" s="475" t="s">
        <v>27</v>
      </c>
      <c r="S11" s="475" t="s">
        <v>28</v>
      </c>
      <c r="T11" s="475" t="s">
        <v>29</v>
      </c>
      <c r="U11" s="475" t="s">
        <v>30</v>
      </c>
      <c r="V11" s="474" t="s">
        <v>31</v>
      </c>
    </row>
    <row r="12" spans="2:23" x14ac:dyDescent="0.25">
      <c r="B12" s="534" t="s">
        <v>190</v>
      </c>
      <c r="C12" s="646">
        <f ca="1">'[1]6.TaxRev'!L988</f>
        <v>-2.1627999999958618</v>
      </c>
      <c r="D12" s="646">
        <f ca="1">'[1]6.TaxRev'!M988</f>
        <v>-2.6657999999848272</v>
      </c>
      <c r="E12" s="646">
        <f ca="1">'[1]6.TaxRev'!N988</f>
        <v>-2.7811299999878685</v>
      </c>
      <c r="F12" s="646">
        <f ca="1">'[1]6.TaxRev'!O988</f>
        <v>-2.6906299999800609</v>
      </c>
      <c r="G12" s="646">
        <f ca="1">'[1]6.TaxRev'!P988</f>
        <v>-2.5520299999699461</v>
      </c>
      <c r="H12" s="646">
        <f ca="1">'[1]6.TaxRev'!Q988</f>
        <v>-3.6721299999598784</v>
      </c>
      <c r="I12" s="646">
        <f ca="1">'[1]6.TaxRev'!R988</f>
        <v>-1.8711299999671667</v>
      </c>
      <c r="J12" s="646">
        <f ca="1">'[1]6.TaxRev'!S988</f>
        <v>-0.23402999994337392</v>
      </c>
      <c r="K12" s="655">
        <f ca="1">'[1]6.TaxRev'!T988</f>
        <v>1.1451700000475853</v>
      </c>
      <c r="L12" s="291"/>
      <c r="M12" s="534" t="s">
        <v>190</v>
      </c>
      <c r="N12" s="646">
        <f ca="1">C12</f>
        <v>-2.1627999999958618</v>
      </c>
      <c r="O12" s="646">
        <f ca="1">D12-C12</f>
        <v>-0.50299999998896539</v>
      </c>
      <c r="P12" s="646">
        <f t="shared" ref="P12:V12" ca="1" si="0">E12-D12</f>
        <v>-0.11533000000304128</v>
      </c>
      <c r="Q12" s="646">
        <f t="shared" ca="1" si="0"/>
        <v>9.0500000007807557E-2</v>
      </c>
      <c r="R12" s="646">
        <f t="shared" ca="1" si="0"/>
        <v>0.13860000001011485</v>
      </c>
      <c r="S12" s="646">
        <f t="shared" ca="1" si="0"/>
        <v>-1.1200999999899324</v>
      </c>
      <c r="T12" s="646">
        <f t="shared" ca="1" si="0"/>
        <v>1.8009999999927118</v>
      </c>
      <c r="U12" s="646">
        <f t="shared" ca="1" si="0"/>
        <v>1.6371000000237927</v>
      </c>
      <c r="V12" s="646">
        <f t="shared" ca="1" si="0"/>
        <v>1.3791999999909592</v>
      </c>
      <c r="W12" s="36">
        <f ca="1">SUM(N12:V12)</f>
        <v>1.1451700000475853</v>
      </c>
    </row>
    <row r="13" spans="2:23" x14ac:dyDescent="0.25">
      <c r="B13" s="470" t="s">
        <v>210</v>
      </c>
      <c r="C13" s="647">
        <f ca="1">'[2]6.TaxRev'!L988</f>
        <v>7.3399999985461761E-2</v>
      </c>
      <c r="D13" s="647">
        <f ca="1">'[2]6.TaxRev'!M988</f>
        <v>2.7499999986744683E-2</v>
      </c>
      <c r="E13" s="647">
        <f ca="1">'[2]6.TaxRev'!N988</f>
        <v>0.33315999997306278</v>
      </c>
      <c r="F13" s="647">
        <f ca="1">'[2]6.TaxRev'!O988</f>
        <v>0.85685999998734985</v>
      </c>
      <c r="G13" s="647">
        <f ca="1">'[2]6.TaxRev'!P988</f>
        <v>1.4260599999912529</v>
      </c>
      <c r="H13" s="647">
        <f ca="1">'[2]6.TaxRev'!Q988</f>
        <v>-0.24974000000148067</v>
      </c>
      <c r="I13" s="647">
        <f ca="1">'[2]6.TaxRev'!R988</f>
        <v>0.29665999999909332</v>
      </c>
      <c r="J13" s="647">
        <f ca="1">'[2]6.TaxRev'!S988</f>
        <v>0.97586000001263074</v>
      </c>
      <c r="K13" s="656">
        <f ca="1">'[2]6.TaxRev'!T988</f>
        <v>1.6771600000110425</v>
      </c>
      <c r="L13" s="291"/>
      <c r="M13" s="470" t="s">
        <v>210</v>
      </c>
      <c r="N13" s="647">
        <f ca="1">C13</f>
        <v>7.3399999985461761E-2</v>
      </c>
      <c r="O13" s="647">
        <f ca="1">D13-C13</f>
        <v>-4.5899999998717078E-2</v>
      </c>
      <c r="P13" s="647">
        <f t="shared" ref="P13:V13" ca="1" si="1">E13-D13</f>
        <v>0.3056599999863181</v>
      </c>
      <c r="Q13" s="647">
        <f t="shared" ca="1" si="1"/>
        <v>0.52370000001428707</v>
      </c>
      <c r="R13" s="647">
        <f t="shared" ca="1" si="1"/>
        <v>0.56920000000390303</v>
      </c>
      <c r="S13" s="647">
        <f t="shared" ca="1" si="1"/>
        <v>-1.6757999999927335</v>
      </c>
      <c r="T13" s="647">
        <f t="shared" ca="1" si="1"/>
        <v>0.54640000000057398</v>
      </c>
      <c r="U13" s="647">
        <f t="shared" ca="1" si="1"/>
        <v>0.67920000001353742</v>
      </c>
      <c r="V13" s="647">
        <f t="shared" ca="1" si="1"/>
        <v>0.70129999999841175</v>
      </c>
      <c r="W13" s="36">
        <f t="shared" ref="W13:W15" ca="1" si="2">SUM(N13:V13)</f>
        <v>1.6771600000110425</v>
      </c>
    </row>
    <row r="14" spans="2:23" x14ac:dyDescent="0.25">
      <c r="B14" s="532" t="s">
        <v>219</v>
      </c>
      <c r="C14" s="648">
        <f ca="1">'[3]6.TaxRev'!L988</f>
        <v>0.36820000000201958</v>
      </c>
      <c r="D14" s="648">
        <f ca="1">'[3]6.TaxRev'!M988</f>
        <v>2.4866000000047137</v>
      </c>
      <c r="E14" s="648">
        <f ca="1">'[3]6.TaxRev'!N988</f>
        <v>4.6748599999898488</v>
      </c>
      <c r="F14" s="648">
        <f ca="1">'[3]6.TaxRev'!O988</f>
        <v>7.2746599999807415</v>
      </c>
      <c r="G14" s="648">
        <f ca="1">'[3]6.TaxRev'!P988</f>
        <v>9.5668599999676189</v>
      </c>
      <c r="H14" s="648">
        <f ca="1">'[3]6.TaxRev'!Q988</f>
        <v>11.144659999960652</v>
      </c>
      <c r="I14" s="648">
        <f ca="1">'[3]6.TaxRev'!R988</f>
        <v>12.424959999956684</v>
      </c>
      <c r="J14" s="648">
        <f ca="1">'[3]6.TaxRev'!S988</f>
        <v>14.012959999976999</v>
      </c>
      <c r="K14" s="657">
        <f ca="1">'[3]6.TaxRev'!T988</f>
        <v>15.597259999980537</v>
      </c>
      <c r="L14" s="291"/>
      <c r="M14" s="532" t="s">
        <v>219</v>
      </c>
      <c r="N14" s="648">
        <f ca="1">C14</f>
        <v>0.36820000000201958</v>
      </c>
      <c r="O14" s="648">
        <f ca="1">D14-C14</f>
        <v>2.1184000000026941</v>
      </c>
      <c r="P14" s="648">
        <f t="shared" ref="P14:V15" ca="1" si="3">E14-D14</f>
        <v>2.1882599999851351</v>
      </c>
      <c r="Q14" s="648">
        <f t="shared" ca="1" si="3"/>
        <v>2.5997999999908927</v>
      </c>
      <c r="R14" s="648">
        <f t="shared" ca="1" si="3"/>
        <v>2.2921999999868774</v>
      </c>
      <c r="S14" s="648">
        <f t="shared" ca="1" si="3"/>
        <v>1.577799999993033</v>
      </c>
      <c r="T14" s="648">
        <f t="shared" ca="1" si="3"/>
        <v>1.2802999999960321</v>
      </c>
      <c r="U14" s="648">
        <f t="shared" ca="1" si="3"/>
        <v>1.5880000000203154</v>
      </c>
      <c r="V14" s="648">
        <f t="shared" ca="1" si="3"/>
        <v>1.5843000000035374</v>
      </c>
      <c r="W14" s="36">
        <f t="shared" ca="1" si="2"/>
        <v>15.597259999980537</v>
      </c>
    </row>
    <row r="15" spans="2:23" x14ac:dyDescent="0.25">
      <c r="B15" s="652" t="s">
        <v>227</v>
      </c>
      <c r="C15" s="653">
        <f ca="1">'[4]6.TaxRev'!L988</f>
        <v>-6.8420000000027983</v>
      </c>
      <c r="D15" s="653">
        <f ca="1">'[4]6.TaxRev'!M988</f>
        <v>-11.29479999998901</v>
      </c>
      <c r="E15" s="653">
        <f ca="1">'[4]6.TaxRev'!N988</f>
        <v>-14.98862999999443</v>
      </c>
      <c r="F15" s="653">
        <f ca="1">'[4]6.TaxRev'!O988</f>
        <v>-18.249129999980966</v>
      </c>
      <c r="G15" s="653">
        <f ca="1">'[4]6.TaxRev'!P988</f>
        <v>-21.37962999999317</v>
      </c>
      <c r="H15" s="653">
        <f ca="1">'[4]6.TaxRev'!Q988</f>
        <v>-25.22683000000805</v>
      </c>
      <c r="I15" s="653">
        <f ca="1">'[4]6.TaxRev'!R988</f>
        <v>-26.913430000019815</v>
      </c>
      <c r="J15" s="653">
        <f ca="1">'[4]6.TaxRev'!S988</f>
        <v>-28.542529999989824</v>
      </c>
      <c r="K15" s="658">
        <f ca="1">'[4]6.TaxRev'!T988</f>
        <v>-30.060529999995708</v>
      </c>
      <c r="L15" s="291"/>
      <c r="M15" s="652" t="s">
        <v>227</v>
      </c>
      <c r="N15" s="653">
        <f ca="1">C15</f>
        <v>-6.8420000000027983</v>
      </c>
      <c r="O15" s="653">
        <f ca="1">D15-C15</f>
        <v>-4.4527999999862118</v>
      </c>
      <c r="P15" s="653">
        <f t="shared" ca="1" si="3"/>
        <v>-3.6938300000054198</v>
      </c>
      <c r="Q15" s="653">
        <f t="shared" ca="1" si="3"/>
        <v>-3.2604999999865356</v>
      </c>
      <c r="R15" s="653">
        <f t="shared" ca="1" si="3"/>
        <v>-3.130500000012205</v>
      </c>
      <c r="S15" s="653">
        <f t="shared" ca="1" si="3"/>
        <v>-3.8472000000148796</v>
      </c>
      <c r="T15" s="653">
        <f t="shared" ca="1" si="3"/>
        <v>-1.6866000000117651</v>
      </c>
      <c r="U15" s="653">
        <f t="shared" ca="1" si="3"/>
        <v>-1.6290999999700091</v>
      </c>
      <c r="V15" s="653">
        <f t="shared" ca="1" si="3"/>
        <v>-1.518000000005884</v>
      </c>
      <c r="W15" s="36">
        <f t="shared" ca="1" si="2"/>
        <v>-30.060529999995708</v>
      </c>
    </row>
    <row r="16" spans="2:23" x14ac:dyDescent="0.25">
      <c r="B16" s="660" t="s">
        <v>556</v>
      </c>
      <c r="C16" s="654"/>
      <c r="D16" s="654"/>
      <c r="E16" s="654"/>
      <c r="F16" s="654"/>
      <c r="G16" s="654"/>
      <c r="H16" s="654"/>
      <c r="I16" s="654"/>
      <c r="J16" s="654"/>
      <c r="K16" s="654"/>
      <c r="L16" s="291"/>
      <c r="M16" s="660" t="s">
        <v>556</v>
      </c>
      <c r="N16" s="654"/>
      <c r="O16" s="654"/>
      <c r="P16" s="654"/>
      <c r="Q16" s="654"/>
      <c r="R16" s="654"/>
      <c r="S16" s="654"/>
      <c r="T16" s="654"/>
      <c r="U16" s="654"/>
      <c r="V16" s="654"/>
    </row>
    <row r="17" spans="2:23" x14ac:dyDescent="0.25">
      <c r="B17" s="35"/>
      <c r="C17" s="651"/>
      <c r="D17" s="651"/>
      <c r="E17" s="651"/>
      <c r="F17" s="651"/>
      <c r="G17" s="651"/>
      <c r="H17" s="651"/>
      <c r="I17" s="651"/>
      <c r="J17" s="651"/>
      <c r="K17" s="651"/>
      <c r="M17" s="35"/>
      <c r="N17" s="651"/>
      <c r="O17" s="651"/>
      <c r="P17" s="651"/>
      <c r="Q17" s="651"/>
      <c r="R17" s="651"/>
      <c r="S17" s="651"/>
      <c r="T17" s="651"/>
      <c r="U17" s="651"/>
      <c r="V17" s="651"/>
    </row>
    <row r="18" spans="2:23" x14ac:dyDescent="0.25">
      <c r="B18" s="471" t="s">
        <v>580</v>
      </c>
      <c r="C18" s="472"/>
      <c r="D18" s="473"/>
      <c r="E18" s="473"/>
      <c r="F18" s="473"/>
      <c r="G18" s="473"/>
      <c r="H18" s="473"/>
      <c r="I18" s="473"/>
      <c r="J18" s="473"/>
      <c r="K18" s="473"/>
      <c r="M18" s="471" t="s">
        <v>581</v>
      </c>
      <c r="N18" s="472"/>
      <c r="O18" s="473"/>
      <c r="P18" s="473"/>
      <c r="Q18" s="473"/>
      <c r="R18" s="473"/>
      <c r="S18" s="473"/>
      <c r="T18" s="473"/>
      <c r="U18" s="473"/>
      <c r="V18" s="473"/>
    </row>
    <row r="19" spans="2:23" x14ac:dyDescent="0.25">
      <c r="B19" s="471" t="s">
        <v>367</v>
      </c>
      <c r="C19" s="475" t="s">
        <v>23</v>
      </c>
      <c r="D19" s="475" t="s">
        <v>24</v>
      </c>
      <c r="E19" s="475" t="s">
        <v>25</v>
      </c>
      <c r="F19" s="475" t="s">
        <v>26</v>
      </c>
      <c r="G19" s="475" t="s">
        <v>27</v>
      </c>
      <c r="H19" s="475" t="s">
        <v>28</v>
      </c>
      <c r="I19" s="475" t="s">
        <v>29</v>
      </c>
      <c r="J19" s="475" t="s">
        <v>30</v>
      </c>
      <c r="K19" s="474" t="s">
        <v>31</v>
      </c>
      <c r="L19" s="35"/>
      <c r="M19" s="471" t="s">
        <v>367</v>
      </c>
      <c r="N19" s="475" t="s">
        <v>23</v>
      </c>
      <c r="O19" s="475" t="s">
        <v>24</v>
      </c>
      <c r="P19" s="475" t="s">
        <v>25</v>
      </c>
      <c r="Q19" s="475" t="s">
        <v>26</v>
      </c>
      <c r="R19" s="475" t="s">
        <v>27</v>
      </c>
      <c r="S19" s="475" t="s">
        <v>28</v>
      </c>
      <c r="T19" s="475" t="s">
        <v>29</v>
      </c>
      <c r="U19" s="475" t="s">
        <v>30</v>
      </c>
      <c r="V19" s="474" t="s">
        <v>31</v>
      </c>
    </row>
    <row r="20" spans="2:23" x14ac:dyDescent="0.25">
      <c r="B20" s="534" t="s">
        <v>190</v>
      </c>
      <c r="C20" s="646">
        <f ca="1">'[1]6.TaxRev'!L985</f>
        <v>-30.52859999999896</v>
      </c>
      <c r="D20" s="646">
        <f ca="1">'[1]6.TaxRev'!M985</f>
        <v>-31.179700000000821</v>
      </c>
      <c r="E20" s="646">
        <f ca="1">'[1]6.TaxRev'!N985</f>
        <v>-32.17423000000008</v>
      </c>
      <c r="F20" s="646">
        <f ca="1">'[1]6.TaxRev'!O985</f>
        <v>-33.315930000000435</v>
      </c>
      <c r="G20" s="646">
        <f ca="1">'[1]6.TaxRev'!P985</f>
        <v>-34.789830000000848</v>
      </c>
      <c r="H20" s="646">
        <f ca="1">'[1]6.TaxRev'!Q985</f>
        <v>-14.694430000000693</v>
      </c>
      <c r="I20" s="646">
        <f ca="1">'[1]6.TaxRev'!R985</f>
        <v>-15.344129999999723</v>
      </c>
      <c r="J20" s="646">
        <f ca="1">'[1]6.TaxRev'!S985</f>
        <v>-15.854329999998072</v>
      </c>
      <c r="K20" s="655">
        <f ca="1">'[1]6.TaxRev'!T985</f>
        <v>-16.295429999996259</v>
      </c>
      <c r="L20" s="291"/>
      <c r="M20" s="534" t="s">
        <v>190</v>
      </c>
      <c r="N20" s="646">
        <f ca="1">C20</f>
        <v>-30.52859999999896</v>
      </c>
      <c r="O20" s="646">
        <f ca="1">D20-C20</f>
        <v>-0.65110000000186119</v>
      </c>
      <c r="P20" s="646">
        <f t="shared" ref="P20" ca="1" si="4">E20-D20</f>
        <v>-0.99452999999925851</v>
      </c>
      <c r="Q20" s="646">
        <f t="shared" ref="Q20" ca="1" si="5">F20-E20</f>
        <v>-1.1417000000003554</v>
      </c>
      <c r="R20" s="646">
        <f t="shared" ref="R20" ca="1" si="6">G20-F20</f>
        <v>-1.4739000000004125</v>
      </c>
      <c r="S20" s="646">
        <f ca="1">H20-G20</f>
        <v>20.095400000000154</v>
      </c>
      <c r="T20" s="646">
        <f t="shared" ref="T20" ca="1" si="7">I20-H20</f>
        <v>-0.64969999999902939</v>
      </c>
      <c r="U20" s="646">
        <f t="shared" ref="U20" ca="1" si="8">J20-I20</f>
        <v>-0.51019999999834909</v>
      </c>
      <c r="V20" s="646">
        <f t="shared" ref="V20" ca="1" si="9">K20-J20</f>
        <v>-0.44109999999818683</v>
      </c>
      <c r="W20" s="36">
        <f ca="1">SUM(N20:V20)</f>
        <v>-16.295429999996259</v>
      </c>
    </row>
    <row r="21" spans="2:23" x14ac:dyDescent="0.25">
      <c r="B21" s="470" t="s">
        <v>210</v>
      </c>
      <c r="C21" s="647">
        <f ca="1">'[2]6.TaxRev'!L985</f>
        <v>-15.394999999996799</v>
      </c>
      <c r="D21" s="647">
        <f ca="1">'[2]6.TaxRev'!M985</f>
        <v>-15.718400000001566</v>
      </c>
      <c r="E21" s="647">
        <f ca="1">'[2]6.TaxRev'!N985</f>
        <v>-16.240540000002511</v>
      </c>
      <c r="F21" s="647">
        <f ca="1">'[2]6.TaxRev'!O985</f>
        <v>-16.859139999996842</v>
      </c>
      <c r="G21" s="647">
        <f ca="1">'[2]6.TaxRev'!P985</f>
        <v>-17.646440000004077</v>
      </c>
      <c r="H21" s="647">
        <f ca="1">'[2]6.TaxRev'!Q985</f>
        <v>-18.506339999999909</v>
      </c>
      <c r="I21" s="647">
        <f ca="1">'[2]6.TaxRev'!R985</f>
        <v>-19.077540000002045</v>
      </c>
      <c r="J21" s="647">
        <f ca="1">'[2]6.TaxRev'!S985</f>
        <v>-19.617839999998978</v>
      </c>
      <c r="K21" s="656">
        <f ca="1">'[2]6.TaxRev'!T985</f>
        <v>-20.139739999995072</v>
      </c>
      <c r="L21" s="291"/>
      <c r="M21" s="470" t="s">
        <v>210</v>
      </c>
      <c r="N21" s="647">
        <f ca="1">C21</f>
        <v>-15.394999999996799</v>
      </c>
      <c r="O21" s="647">
        <f ca="1">D21-C21</f>
        <v>-0.32340000000476721</v>
      </c>
      <c r="P21" s="647">
        <f t="shared" ref="P21:V21" ca="1" si="10">E21-D21</f>
        <v>-0.52214000000094529</v>
      </c>
      <c r="Q21" s="647">
        <f t="shared" ca="1" si="10"/>
        <v>-0.61859999999433057</v>
      </c>
      <c r="R21" s="647">
        <f t="shared" ca="1" si="10"/>
        <v>-0.78730000000723521</v>
      </c>
      <c r="S21" s="647">
        <f t="shared" ca="1" si="10"/>
        <v>-0.85989999999583233</v>
      </c>
      <c r="T21" s="647">
        <f t="shared" ca="1" si="10"/>
        <v>-0.57120000000213622</v>
      </c>
      <c r="U21" s="647">
        <f t="shared" ca="1" si="10"/>
        <v>-0.54029999999693246</v>
      </c>
      <c r="V21" s="647">
        <f t="shared" ca="1" si="10"/>
        <v>-0.52189999999609427</v>
      </c>
      <c r="W21" s="36">
        <f t="shared" ref="W21:W23" ca="1" si="11">SUM(N21:V21)</f>
        <v>-20.139739999995072</v>
      </c>
    </row>
    <row r="22" spans="2:23" x14ac:dyDescent="0.25">
      <c r="B22" s="532" t="s">
        <v>219</v>
      </c>
      <c r="C22" s="648">
        <f ca="1">'[3]6.TaxRev'!L987</f>
        <v>0.31160000000068067</v>
      </c>
      <c r="D22" s="648">
        <f ca="1">'[3]6.TaxRev'!M987</f>
        <v>0.20199999999886131</v>
      </c>
      <c r="E22" s="648">
        <f ca="1">'[3]6.TaxRev'!N987</f>
        <v>0.10535999999910928</v>
      </c>
      <c r="F22" s="648">
        <f ca="1">'[3]6.TaxRev'!O987</f>
        <v>4.9959999998236526E-2</v>
      </c>
      <c r="G22" s="648">
        <f ca="1">'[3]6.TaxRev'!P987</f>
        <v>-9.5400000016070408E-3</v>
      </c>
      <c r="H22" s="648">
        <f ca="1">'[3]6.TaxRev'!Q987</f>
        <v>-4.4740000001411317E-2</v>
      </c>
      <c r="I22" s="648">
        <f ca="1">'[3]6.TaxRev'!R987</f>
        <v>-0.11814000000049418</v>
      </c>
      <c r="J22" s="648">
        <f ca="1">'[3]6.TaxRev'!S987</f>
        <v>-9.5339999998941494E-2</v>
      </c>
      <c r="K22" s="648">
        <f ca="1">'[3]6.TaxRev'!T987</f>
        <v>-5.2839999998468556E-2</v>
      </c>
      <c r="L22" s="291"/>
      <c r="M22" s="532" t="s">
        <v>219</v>
      </c>
      <c r="N22" s="648">
        <f ca="1">C22</f>
        <v>0.31160000000068067</v>
      </c>
      <c r="O22" s="648">
        <f ca="1">D22-C22</f>
        <v>-0.10960000000181935</v>
      </c>
      <c r="P22" s="648">
        <f t="shared" ref="P22:P23" ca="1" si="12">E22-D22</f>
        <v>-9.6639999999752035E-2</v>
      </c>
      <c r="Q22" s="648">
        <f t="shared" ref="Q22:Q23" ca="1" si="13">F22-E22</f>
        <v>-5.5400000000872751E-2</v>
      </c>
      <c r="R22" s="648">
        <f t="shared" ref="R22:R23" ca="1" si="14">G22-F22</f>
        <v>-5.9499999999843567E-2</v>
      </c>
      <c r="S22" s="648">
        <f t="shared" ref="S22:S23" ca="1" si="15">H22-G22</f>
        <v>-3.5199999999804277E-2</v>
      </c>
      <c r="T22" s="648">
        <f t="shared" ref="T22:T23" ca="1" si="16">I22-H22</f>
        <v>-7.3399999999082866E-2</v>
      </c>
      <c r="U22" s="648">
        <f t="shared" ref="U22:U23" ca="1" si="17">J22-I22</f>
        <v>2.2800000001552689E-2</v>
      </c>
      <c r="V22" s="648">
        <f t="shared" ref="V22:V23" ca="1" si="18">K22-J22</f>
        <v>4.2500000000472937E-2</v>
      </c>
      <c r="W22" s="36">
        <f t="shared" ca="1" si="11"/>
        <v>-5.2839999998468556E-2</v>
      </c>
    </row>
    <row r="23" spans="2:23" x14ac:dyDescent="0.25">
      <c r="B23" s="533" t="s">
        <v>227</v>
      </c>
      <c r="C23" s="650">
        <f ca="1">'[4]6.TaxRev'!L985</f>
        <v>-96.492199999998093</v>
      </c>
      <c r="D23" s="650">
        <f ca="1">'[4]6.TaxRev'!M985</f>
        <v>-98.637199999998529</v>
      </c>
      <c r="E23" s="650">
        <f ca="1">'[4]6.TaxRev'!N985</f>
        <v>-101.75382999999647</v>
      </c>
      <c r="F23" s="650">
        <f ca="1">'[4]6.TaxRev'!O985</f>
        <v>-105.22432999999614</v>
      </c>
      <c r="G23" s="650">
        <f ca="1">'[4]6.TaxRev'!P985</f>
        <v>-109.76172999999699</v>
      </c>
      <c r="H23" s="650">
        <f ca="1">'[4]6.TaxRev'!Q985</f>
        <v>-113.83992999999691</v>
      </c>
      <c r="I23" s="650">
        <f ca="1">'[4]6.TaxRev'!R985</f>
        <v>-117.1284299999968</v>
      </c>
      <c r="J23" s="650">
        <f ca="1">'[4]6.TaxRev'!S985</f>
        <v>-120.51322999999593</v>
      </c>
      <c r="K23" s="659">
        <f ca="1">'[4]6.TaxRev'!T985</f>
        <v>-123.91212999999379</v>
      </c>
      <c r="L23" s="291"/>
      <c r="M23" s="533" t="s">
        <v>227</v>
      </c>
      <c r="N23" s="653">
        <f ca="1">C23</f>
        <v>-96.492199999998093</v>
      </c>
      <c r="O23" s="653">
        <f ca="1">D23-C23</f>
        <v>-2.1450000000004366</v>
      </c>
      <c r="P23" s="653">
        <f t="shared" ca="1" si="12"/>
        <v>-3.1166299999979401</v>
      </c>
      <c r="Q23" s="653">
        <f t="shared" ca="1" si="13"/>
        <v>-3.4704999999996744</v>
      </c>
      <c r="R23" s="653">
        <f t="shared" ca="1" si="14"/>
        <v>-4.5374000000008436</v>
      </c>
      <c r="S23" s="653">
        <f t="shared" ca="1" si="15"/>
        <v>-4.0781999999999243</v>
      </c>
      <c r="T23" s="653">
        <f t="shared" ca="1" si="16"/>
        <v>-3.2884999999998854</v>
      </c>
      <c r="U23" s="653">
        <f t="shared" ca="1" si="17"/>
        <v>-3.3847999999991316</v>
      </c>
      <c r="V23" s="653">
        <f t="shared" ca="1" si="18"/>
        <v>-3.398899999997866</v>
      </c>
      <c r="W23" s="36">
        <f t="shared" ca="1" si="11"/>
        <v>-123.91212999999379</v>
      </c>
    </row>
    <row r="24" spans="2:23" x14ac:dyDescent="0.25">
      <c r="B24" s="35"/>
      <c r="C24" s="291"/>
      <c r="D24" s="291"/>
      <c r="E24" s="291"/>
      <c r="F24" s="291"/>
      <c r="G24" s="291"/>
      <c r="H24" s="291"/>
      <c r="I24" s="291"/>
      <c r="J24" s="291"/>
      <c r="K24" s="649"/>
      <c r="M24" s="35"/>
      <c r="N24" s="291"/>
      <c r="O24" s="291"/>
      <c r="P24" s="291"/>
      <c r="Q24" s="291"/>
      <c r="R24" s="291"/>
      <c r="S24" s="291"/>
      <c r="T24" s="291"/>
      <c r="U24" s="291"/>
      <c r="V24" s="649"/>
    </row>
    <row r="25" spans="2:23" x14ac:dyDescent="0.25">
      <c r="B25" s="471" t="s">
        <v>579</v>
      </c>
      <c r="C25" s="472"/>
      <c r="D25" s="473"/>
      <c r="E25" s="473"/>
      <c r="F25" s="473"/>
      <c r="G25" s="473"/>
      <c r="H25" s="473"/>
      <c r="I25" s="473"/>
      <c r="J25" s="473"/>
      <c r="K25" s="473"/>
      <c r="M25" s="471" t="s">
        <v>576</v>
      </c>
      <c r="N25" s="472"/>
      <c r="O25" s="473"/>
      <c r="P25" s="473"/>
      <c r="Q25" s="473"/>
      <c r="R25" s="473"/>
      <c r="S25" s="473"/>
      <c r="T25" s="473"/>
      <c r="U25" s="473"/>
      <c r="V25" s="473"/>
    </row>
    <row r="26" spans="2:23" x14ac:dyDescent="0.25">
      <c r="B26" s="471" t="s">
        <v>367</v>
      </c>
      <c r="C26" s="475" t="s">
        <v>23</v>
      </c>
      <c r="D26" s="475" t="s">
        <v>24</v>
      </c>
      <c r="E26" s="475" t="s">
        <v>25</v>
      </c>
      <c r="F26" s="475" t="s">
        <v>26</v>
      </c>
      <c r="G26" s="475" t="s">
        <v>27</v>
      </c>
      <c r="H26" s="475" t="s">
        <v>28</v>
      </c>
      <c r="I26" s="475" t="s">
        <v>29</v>
      </c>
      <c r="J26" s="475" t="s">
        <v>30</v>
      </c>
      <c r="K26" s="474" t="s">
        <v>31</v>
      </c>
      <c r="M26" s="471" t="s">
        <v>367</v>
      </c>
      <c r="N26" s="475" t="s">
        <v>23</v>
      </c>
      <c r="O26" s="475" t="s">
        <v>24</v>
      </c>
      <c r="P26" s="475" t="s">
        <v>25</v>
      </c>
      <c r="Q26" s="475" t="s">
        <v>26</v>
      </c>
      <c r="R26" s="475" t="s">
        <v>27</v>
      </c>
      <c r="S26" s="475" t="s">
        <v>28</v>
      </c>
      <c r="T26" s="475" t="s">
        <v>29</v>
      </c>
      <c r="U26" s="475" t="s">
        <v>30</v>
      </c>
      <c r="V26" s="474" t="s">
        <v>31</v>
      </c>
    </row>
    <row r="27" spans="2:23" x14ac:dyDescent="0.25">
      <c r="B27" s="534" t="s">
        <v>190</v>
      </c>
      <c r="C27" s="646">
        <f ca="1">'5.ScenarioB'!P100</f>
        <v>38.36026204796508</v>
      </c>
      <c r="D27" s="646">
        <f ca="1">'5.ScenarioB'!Q100</f>
        <v>24.261688447673805</v>
      </c>
      <c r="E27" s="646">
        <f ca="1">'5.ScenarioB'!R100</f>
        <v>14.964370492787566</v>
      </c>
      <c r="F27" s="646">
        <f ca="1">'5.ScenarioB'!S100</f>
        <v>8.8107002980541438</v>
      </c>
      <c r="G27" s="646">
        <f ca="1">'5.ScenarioB'!T100</f>
        <v>3.9337678056908771</v>
      </c>
      <c r="H27" s="646">
        <f ca="1">'5.ScenarioB'!U100</f>
        <v>-30.230257775052451</v>
      </c>
      <c r="I27" s="646">
        <f ca="1">'5.ScenarioB'!V100</f>
        <v>-19.918104011332616</v>
      </c>
      <c r="J27" s="646">
        <f ca="1">'5.ScenarioB'!W100</f>
        <v>-14.093710979679599</v>
      </c>
      <c r="K27" s="655">
        <f ca="1">'5.ScenarioB'!X100</f>
        <v>-10.825298462179489</v>
      </c>
      <c r="L27" s="291"/>
      <c r="M27" s="534" t="s">
        <v>190</v>
      </c>
      <c r="N27" s="646">
        <f ca="1">C27</f>
        <v>38.36026204796508</v>
      </c>
      <c r="O27" s="646">
        <f ca="1">D27-C27</f>
        <v>-14.098573600291274</v>
      </c>
      <c r="P27" s="646">
        <f t="shared" ref="P27" ca="1" si="19">E27-D27</f>
        <v>-9.297317954886239</v>
      </c>
      <c r="Q27" s="646">
        <f t="shared" ref="Q27" ca="1" si="20">F27-E27</f>
        <v>-6.1536701947334222</v>
      </c>
      <c r="R27" s="646">
        <f t="shared" ref="R27" ca="1" si="21">G27-F27</f>
        <v>-4.8769324923632666</v>
      </c>
      <c r="S27" s="646">
        <f t="shared" ref="S27" ca="1" si="22">H27-G27</f>
        <v>-34.164025580743328</v>
      </c>
      <c r="T27" s="646">
        <f t="shared" ref="T27" ca="1" si="23">I27-H27</f>
        <v>10.312153763719834</v>
      </c>
      <c r="U27" s="646">
        <f t="shared" ref="U27" ca="1" si="24">J27-I27</f>
        <v>5.8243930316530168</v>
      </c>
      <c r="V27" s="646">
        <f t="shared" ref="V27" ca="1" si="25">K27-J27</f>
        <v>3.26841251750011</v>
      </c>
      <c r="W27" s="36">
        <f ca="1">SUM(N27:V27)</f>
        <v>-10.825298462179489</v>
      </c>
    </row>
    <row r="28" spans="2:23" x14ac:dyDescent="0.25">
      <c r="B28" s="470" t="s">
        <v>210</v>
      </c>
      <c r="C28" s="647">
        <f ca="1">'6.ScenarioC'!P107</f>
        <v>21.837328017223626</v>
      </c>
      <c r="D28" s="647">
        <f ca="1">'6.ScenarioC'!Q107</f>
        <v>13.44038907927461</v>
      </c>
      <c r="E28" s="647">
        <f ca="1">'6.ScenarioC'!R107</f>
        <v>8.0384376920410432</v>
      </c>
      <c r="F28" s="647">
        <f ca="1">'6.ScenarioC'!S107</f>
        <v>4.5095469211228192</v>
      </c>
      <c r="G28" s="647">
        <f ca="1">'6.ScenarioC'!T107</f>
        <v>1.8615562820341438</v>
      </c>
      <c r="H28" s="647">
        <f ca="1">'6.ScenarioC'!U107</f>
        <v>-2.1654871561331674</v>
      </c>
      <c r="I28" s="647">
        <f ca="1">'6.ScenarioC'!V107</f>
        <v>-2.4973860887112096</v>
      </c>
      <c r="J28" s="647">
        <f ca="1">'6.ScenarioC'!W107</f>
        <v>-2.7311488518025726</v>
      </c>
      <c r="K28" s="656">
        <f ca="1">'6.ScenarioC'!X107</f>
        <v>-3.0333332088775933</v>
      </c>
      <c r="L28" s="291"/>
      <c r="M28" s="470" t="s">
        <v>210</v>
      </c>
      <c r="N28" s="647">
        <f ca="1">C28</f>
        <v>21.837328017223626</v>
      </c>
      <c r="O28" s="647">
        <f ca="1">D28-C28</f>
        <v>-8.3969389379490167</v>
      </c>
      <c r="P28" s="647">
        <f t="shared" ref="P28:V28" ca="1" si="26">E28-D28</f>
        <v>-5.4019513872335665</v>
      </c>
      <c r="Q28" s="647">
        <f t="shared" ca="1" si="26"/>
        <v>-3.528890770918224</v>
      </c>
      <c r="R28" s="647">
        <f t="shared" ca="1" si="26"/>
        <v>-2.6479906390886754</v>
      </c>
      <c r="S28" s="647">
        <f t="shared" ca="1" si="26"/>
        <v>-4.0270434381673113</v>
      </c>
      <c r="T28" s="647">
        <f t="shared" ca="1" si="26"/>
        <v>-0.33189893257804215</v>
      </c>
      <c r="U28" s="647">
        <f t="shared" ca="1" si="26"/>
        <v>-0.23376276309136301</v>
      </c>
      <c r="V28" s="647">
        <f t="shared" ca="1" si="26"/>
        <v>-0.30218435707502067</v>
      </c>
      <c r="W28" s="36">
        <f t="shared" ref="W28:W30" ca="1" si="27">SUM(N28:V28)</f>
        <v>-3.0333332088775933</v>
      </c>
    </row>
    <row r="29" spans="2:23" x14ac:dyDescent="0.25">
      <c r="B29" s="532" t="s">
        <v>219</v>
      </c>
      <c r="C29" s="648">
        <f ca="1">'7.ScenarioD'!P110</f>
        <v>-21.305888618633617</v>
      </c>
      <c r="D29" s="648">
        <f ca="1">'7.ScenarioD'!Q110</f>
        <v>-13.342409066041</v>
      </c>
      <c r="E29" s="648">
        <f ca="1">'7.ScenarioD'!R110</f>
        <v>-7.9890501022455283</v>
      </c>
      <c r="F29" s="648">
        <f ca="1">'7.ScenarioD'!S110</f>
        <v>-4.4590649059973657</v>
      </c>
      <c r="G29" s="648">
        <f ca="1">'7.ScenarioD'!T110</f>
        <v>-1.5978487702086568</v>
      </c>
      <c r="H29" s="648">
        <f ca="1">'7.ScenarioD'!U110</f>
        <v>0.1009523686952889</v>
      </c>
      <c r="I29" s="648">
        <f ca="1">'7.ScenarioD'!V110</f>
        <v>1.3267302056774497</v>
      </c>
      <c r="J29" s="648">
        <f ca="1">'7.ScenarioD'!W110</f>
        <v>2.2148952739080414</v>
      </c>
      <c r="K29" s="657">
        <f ca="1">'7.ScenarioD'!X110</f>
        <v>2.9714912892086431</v>
      </c>
      <c r="L29" s="291"/>
      <c r="M29" s="532" t="s">
        <v>219</v>
      </c>
      <c r="N29" s="648">
        <f ca="1">C29</f>
        <v>-21.305888618633617</v>
      </c>
      <c r="O29" s="648">
        <f ca="1">D29-C29</f>
        <v>7.9634795525926165</v>
      </c>
      <c r="P29" s="648">
        <f t="shared" ref="P29:P30" ca="1" si="28">E29-D29</f>
        <v>5.3533589637954719</v>
      </c>
      <c r="Q29" s="648">
        <f t="shared" ref="Q29:Q30" ca="1" si="29">F29-E29</f>
        <v>3.5299851962481625</v>
      </c>
      <c r="R29" s="648">
        <f t="shared" ref="R29:R30" ca="1" si="30">G29-F29</f>
        <v>2.8612161357887089</v>
      </c>
      <c r="S29" s="648">
        <f t="shared" ref="S29:S30" ca="1" si="31">H29-G29</f>
        <v>1.6988011389039457</v>
      </c>
      <c r="T29" s="648">
        <f t="shared" ref="T29:T30" ca="1" si="32">I29-H29</f>
        <v>1.2257778369821608</v>
      </c>
      <c r="U29" s="648">
        <f t="shared" ref="U29:U30" ca="1" si="33">J29-I29</f>
        <v>0.88816506823059171</v>
      </c>
      <c r="V29" s="648">
        <f t="shared" ref="V29:V30" ca="1" si="34">K29-J29</f>
        <v>0.75659601530060172</v>
      </c>
      <c r="W29" s="36">
        <f t="shared" ca="1" si="27"/>
        <v>2.9714912892086431</v>
      </c>
    </row>
    <row r="30" spans="2:23" x14ac:dyDescent="0.25">
      <c r="B30" s="533" t="s">
        <v>227</v>
      </c>
      <c r="C30" s="650">
        <f ca="1">'8.ScenarioE'!P150</f>
        <v>117.20654373862644</v>
      </c>
      <c r="D30" s="650">
        <f ca="1">'8.ScenarioE'!Q150</f>
        <v>72.23294723636829</v>
      </c>
      <c r="E30" s="650">
        <f ca="1">'8.ScenarioE'!R150</f>
        <v>42.352825489836931</v>
      </c>
      <c r="F30" s="650">
        <f ca="1">'8.ScenarioE'!S150</f>
        <v>22.638285079265458</v>
      </c>
      <c r="G30" s="650">
        <f ca="1">'8.ScenarioE'!T150</f>
        <v>6.7492269947950945</v>
      </c>
      <c r="H30" s="650">
        <f ca="1">'8.ScenarioE'!U150</f>
        <v>-3.7836936121365881</v>
      </c>
      <c r="I30" s="650">
        <f ca="1">'8.ScenarioE'!V150</f>
        <v>-12.385043555476344</v>
      </c>
      <c r="J30" s="650">
        <f ca="1">'8.ScenarioE'!W150</f>
        <v>-18.736946580251058</v>
      </c>
      <c r="K30" s="659">
        <f ca="1">'8.ScenarioE'!X150</f>
        <v>-24.172447408051895</v>
      </c>
      <c r="L30" s="291"/>
      <c r="M30" s="533" t="s">
        <v>227</v>
      </c>
      <c r="N30" s="653">
        <f ca="1">C30</f>
        <v>117.20654373862644</v>
      </c>
      <c r="O30" s="653">
        <f ca="1">D30-C30</f>
        <v>-44.973596502258147</v>
      </c>
      <c r="P30" s="653">
        <f t="shared" ca="1" si="28"/>
        <v>-29.880121746531358</v>
      </c>
      <c r="Q30" s="653">
        <f t="shared" ca="1" si="29"/>
        <v>-19.714540410571473</v>
      </c>
      <c r="R30" s="653">
        <f t="shared" ca="1" si="30"/>
        <v>-15.889058084470363</v>
      </c>
      <c r="S30" s="653">
        <f t="shared" ca="1" si="31"/>
        <v>-10.532920606931683</v>
      </c>
      <c r="T30" s="653">
        <f t="shared" ca="1" si="32"/>
        <v>-8.6013499433397556</v>
      </c>
      <c r="U30" s="653">
        <f t="shared" ca="1" si="33"/>
        <v>-6.3519030247747139</v>
      </c>
      <c r="V30" s="653">
        <f t="shared" ca="1" si="34"/>
        <v>-5.435500827800837</v>
      </c>
      <c r="W30" s="36">
        <f t="shared" ca="1" si="27"/>
        <v>-24.172447408051895</v>
      </c>
    </row>
    <row r="33" spans="12:23" x14ac:dyDescent="0.25">
      <c r="M33" s="471" t="s">
        <v>577</v>
      </c>
      <c r="N33" s="472"/>
      <c r="O33" s="473"/>
      <c r="P33" s="473"/>
      <c r="Q33" s="473"/>
      <c r="R33" s="473"/>
      <c r="S33" s="473"/>
      <c r="T33" s="473"/>
      <c r="U33" s="473"/>
      <c r="V33" s="473"/>
    </row>
    <row r="34" spans="12:23" x14ac:dyDescent="0.25">
      <c r="L34" s="35"/>
      <c r="M34" s="471" t="s">
        <v>367</v>
      </c>
      <c r="N34" s="475" t="s">
        <v>23</v>
      </c>
      <c r="O34" s="475" t="s">
        <v>24</v>
      </c>
      <c r="P34" s="475" t="s">
        <v>25</v>
      </c>
      <c r="Q34" s="475" t="s">
        <v>26</v>
      </c>
      <c r="R34" s="475" t="s">
        <v>27</v>
      </c>
      <c r="S34" s="475" t="s">
        <v>28</v>
      </c>
      <c r="T34" s="475" t="s">
        <v>29</v>
      </c>
      <c r="U34" s="475" t="s">
        <v>30</v>
      </c>
      <c r="V34" s="474" t="s">
        <v>31</v>
      </c>
    </row>
    <row r="35" spans="12:23" x14ac:dyDescent="0.25">
      <c r="L35" s="291"/>
      <c r="M35" s="534" t="s">
        <v>190</v>
      </c>
      <c r="N35" s="646">
        <f>'5.ScenarioB'!P17</f>
        <v>-30.206846376958822</v>
      </c>
      <c r="O35" s="646">
        <f>'5.ScenarioB'!Q17</f>
        <v>-30.510223000366409</v>
      </c>
      <c r="P35" s="646">
        <f>'5.ScenarioB'!R17</f>
        <v>-30.849754428635976</v>
      </c>
      <c r="Q35" s="646">
        <f>'5.ScenarioB'!S17</f>
        <v>-31.176281993624087</v>
      </c>
      <c r="R35" s="646">
        <f>'5.ScenarioB'!T17</f>
        <v>-31.376315424087352</v>
      </c>
      <c r="S35" s="646">
        <f>'5.ScenarioB'!U17</f>
        <v>-15.791218968469543</v>
      </c>
      <c r="T35" s="646">
        <f>'5.ScenarioB'!V17</f>
        <v>-15.915030435556936</v>
      </c>
      <c r="U35" s="646">
        <f>'5.ScenarioB'!W17</f>
        <v>-16.039438682865836</v>
      </c>
      <c r="V35" s="655">
        <f>'5.ScenarioB'!X17</f>
        <v>-16.167269046390196</v>
      </c>
      <c r="W35" s="36">
        <f>SUM(N35:V35)</f>
        <v>-218.03237835695515</v>
      </c>
    </row>
    <row r="36" spans="12:23" x14ac:dyDescent="0.25">
      <c r="L36" s="291"/>
      <c r="M36" s="470" t="s">
        <v>210</v>
      </c>
      <c r="N36" s="647">
        <f>'6.ScenarioC'!P23</f>
        <v>-15.888720431768489</v>
      </c>
      <c r="O36" s="647">
        <f>'6.ScenarioC'!Q23</f>
        <v>-15.62414884374523</v>
      </c>
      <c r="P36" s="647">
        <f>'6.ScenarioC'!R23</f>
        <v>-15.857272324603537</v>
      </c>
      <c r="Q36" s="647">
        <f>'6.ScenarioC'!S23</f>
        <v>-16.044882694836843</v>
      </c>
      <c r="R36" s="647">
        <f>'6.ScenarioC'!T23</f>
        <v>-16.312141008663897</v>
      </c>
      <c r="S36" s="647">
        <f>'6.ScenarioC'!U23</f>
        <v>-16.831527077330378</v>
      </c>
      <c r="T36" s="647">
        <f>'6.ScenarioC'!V23</f>
        <v>-17.542956234078002</v>
      </c>
      <c r="U36" s="647">
        <f>'6.ScenarioC'!W23</f>
        <v>-18.25607626811988</v>
      </c>
      <c r="V36" s="656">
        <f>'6.ScenarioC'!X23</f>
        <v>-18.97889229810556</v>
      </c>
      <c r="W36" s="36">
        <f t="shared" ref="W36:W38" si="35">SUM(N36:V36)</f>
        <v>-151.33661718125182</v>
      </c>
    </row>
    <row r="37" spans="12:23" x14ac:dyDescent="0.25">
      <c r="L37" s="291"/>
      <c r="M37" s="532" t="s">
        <v>219</v>
      </c>
      <c r="N37" s="648">
        <v>0</v>
      </c>
      <c r="O37" s="648">
        <v>0</v>
      </c>
      <c r="P37" s="648">
        <v>0</v>
      </c>
      <c r="Q37" s="648">
        <v>0</v>
      </c>
      <c r="R37" s="648">
        <v>0</v>
      </c>
      <c r="S37" s="648">
        <v>0</v>
      </c>
      <c r="T37" s="648">
        <v>0</v>
      </c>
      <c r="U37" s="648">
        <v>0</v>
      </c>
      <c r="V37" s="648">
        <v>0</v>
      </c>
      <c r="W37" s="36">
        <f t="shared" si="35"/>
        <v>0</v>
      </c>
    </row>
    <row r="38" spans="12:23" x14ac:dyDescent="0.25">
      <c r="L38" s="291"/>
      <c r="M38" s="533" t="s">
        <v>227</v>
      </c>
      <c r="N38" s="650">
        <f>'8.ScenarioE'!P46</f>
        <v>-95.673621353975193</v>
      </c>
      <c r="O38" s="650">
        <f>'8.ScenarioE'!Q46</f>
        <v>-95.624394983079043</v>
      </c>
      <c r="P38" s="650">
        <f>'8.ScenarioE'!R46</f>
        <v>-96.184374818140213</v>
      </c>
      <c r="Q38" s="650">
        <f>'8.ScenarioE'!S46</f>
        <v>-96.698514126485989</v>
      </c>
      <c r="R38" s="650">
        <f>'8.ScenarioE'!T46</f>
        <v>-97.315590556638696</v>
      </c>
      <c r="S38" s="650">
        <f>'8.ScenarioE'!U46</f>
        <v>-97.895124823219305</v>
      </c>
      <c r="T38" s="650">
        <f>'8.ScenarioE'!V46</f>
        <v>-98.479804907412444</v>
      </c>
      <c r="U38" s="650">
        <f>'8.ScenarioE'!W46</f>
        <v>-99.06880247314146</v>
      </c>
      <c r="V38" s="659">
        <f>'8.ScenarioE'!X46</f>
        <v>-99.674946691450558</v>
      </c>
      <c r="W38" s="36">
        <f t="shared" si="35"/>
        <v>-876.61517473354297</v>
      </c>
    </row>
    <row r="40" spans="12:23" x14ac:dyDescent="0.25">
      <c r="O40" s="308"/>
      <c r="P40" s="308"/>
      <c r="Q40" s="308"/>
      <c r="R40" s="308"/>
      <c r="S40" s="308"/>
      <c r="T40" s="308"/>
      <c r="U40" s="308"/>
      <c r="V40" s="308"/>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sheetPr>
  <dimension ref="B7:Z185"/>
  <sheetViews>
    <sheetView topLeftCell="A130" workbookViewId="0">
      <selection activeCell="B59" sqref="B59"/>
    </sheetView>
  </sheetViews>
  <sheetFormatPr defaultRowHeight="15" x14ac:dyDescent="0.25"/>
  <cols>
    <col min="1" max="1" width="1.140625" style="2" customWidth="1"/>
    <col min="2" max="2" width="42.28515625" style="2" customWidth="1"/>
    <col min="3" max="3" width="13.85546875" style="2" customWidth="1"/>
    <col min="4" max="9" width="9.140625" style="2" hidden="1" customWidth="1"/>
    <col min="10" max="12" width="9.140625" style="2" customWidth="1"/>
    <col min="13" max="13" width="9.140625" style="7" customWidth="1"/>
    <col min="14" max="14" width="10" style="7" customWidth="1"/>
    <col min="15" max="15" width="12.140625" style="7" bestFit="1" customWidth="1"/>
    <col min="16" max="16" width="9" style="2" customWidth="1"/>
    <col min="17" max="24" width="9.7109375" style="2" bestFit="1" customWidth="1"/>
    <col min="25" max="25" width="4.42578125" style="2" customWidth="1"/>
    <col min="26" max="26" width="9.140625" style="2"/>
    <col min="27" max="27" width="16.5703125" style="2" customWidth="1"/>
    <col min="28" max="16384" width="9.140625" style="2"/>
  </cols>
  <sheetData>
    <row r="7" spans="2:26" ht="20.25" x14ac:dyDescent="0.3">
      <c r="B7" s="1" t="str">
        <f>Index!B7</f>
        <v>Economic effects of fiscal support for the NSW GREYHOUND racing industry: DRAFT</v>
      </c>
      <c r="C7" s="1"/>
    </row>
    <row r="8" spans="2:26" ht="25.5" customHeight="1" x14ac:dyDescent="0.25">
      <c r="B8" s="3" t="s">
        <v>353</v>
      </c>
    </row>
    <row r="9" spans="2:26" ht="18" x14ac:dyDescent="0.25">
      <c r="C9" s="3"/>
    </row>
    <row r="10" spans="2:26" x14ac:dyDescent="0.25">
      <c r="O10" s="203"/>
    </row>
    <row r="11" spans="2:26" x14ac:dyDescent="0.25">
      <c r="B11" s="242"/>
      <c r="C11" s="242"/>
      <c r="D11" s="12"/>
      <c r="E11" s="12"/>
      <c r="F11" s="12"/>
      <c r="G11" s="12"/>
      <c r="H11" s="12"/>
      <c r="I11" s="12"/>
      <c r="J11" s="12"/>
      <c r="K11" s="12"/>
      <c r="L11" s="12"/>
      <c r="M11" s="12"/>
      <c r="N11" s="12"/>
      <c r="O11" s="12"/>
      <c r="P11" s="12"/>
      <c r="Q11" s="12"/>
      <c r="R11" s="12"/>
      <c r="S11" s="12"/>
      <c r="T11" s="12"/>
      <c r="U11" s="12"/>
      <c r="V11" s="12"/>
      <c r="W11" s="12"/>
      <c r="X11" s="12"/>
      <c r="Y11" s="7"/>
      <c r="Z11" s="7"/>
    </row>
    <row r="12" spans="2:26" s="7" customFormat="1" ht="16.5" customHeight="1" x14ac:dyDescent="0.25">
      <c r="B12" s="12"/>
      <c r="C12" s="189"/>
      <c r="D12" s="668" t="s">
        <v>354</v>
      </c>
      <c r="E12" s="669"/>
      <c r="F12" s="669"/>
      <c r="G12" s="669"/>
      <c r="H12" s="669"/>
      <c r="I12" s="669"/>
      <c r="J12" s="669"/>
      <c r="K12" s="669"/>
      <c r="L12" s="669"/>
      <c r="M12" s="669"/>
      <c r="N12" s="670"/>
      <c r="O12" s="379"/>
      <c r="P12" s="671" t="s">
        <v>355</v>
      </c>
      <c r="Q12" s="672"/>
      <c r="R12" s="672"/>
      <c r="S12" s="672"/>
      <c r="T12" s="672"/>
      <c r="U12" s="672"/>
      <c r="V12" s="672"/>
      <c r="W12" s="672"/>
      <c r="X12" s="673"/>
    </row>
    <row r="13" spans="2:26" s="7" customFormat="1" ht="16.5" customHeight="1" x14ac:dyDescent="0.25">
      <c r="B13" s="393" t="s">
        <v>230</v>
      </c>
      <c r="C13" s="286"/>
      <c r="D13" s="338">
        <v>1</v>
      </c>
      <c r="E13" s="339">
        <v>2</v>
      </c>
      <c r="F13" s="339">
        <v>3</v>
      </c>
      <c r="G13" s="339">
        <v>4</v>
      </c>
      <c r="H13" s="339">
        <v>5</v>
      </c>
      <c r="I13" s="339">
        <v>6</v>
      </c>
      <c r="J13" s="339">
        <v>7</v>
      </c>
      <c r="K13" s="339">
        <v>8</v>
      </c>
      <c r="L13" s="339">
        <v>9</v>
      </c>
      <c r="M13" s="339">
        <v>10</v>
      </c>
      <c r="N13" s="183">
        <v>11</v>
      </c>
      <c r="O13" s="364">
        <v>12</v>
      </c>
      <c r="P13" s="380">
        <v>13</v>
      </c>
      <c r="Q13" s="181">
        <v>14</v>
      </c>
      <c r="R13" s="181">
        <v>15</v>
      </c>
      <c r="S13" s="181">
        <v>16</v>
      </c>
      <c r="T13" s="183">
        <v>17</v>
      </c>
      <c r="U13" s="181">
        <v>18</v>
      </c>
      <c r="V13" s="181">
        <v>19</v>
      </c>
      <c r="W13" s="181">
        <v>20</v>
      </c>
      <c r="X13" s="183">
        <v>21</v>
      </c>
    </row>
    <row r="14" spans="2:26" ht="16.5" customHeight="1" x14ac:dyDescent="0.25">
      <c r="B14" s="31" t="s">
        <v>120</v>
      </c>
      <c r="C14" s="309"/>
      <c r="D14" s="340" t="s">
        <v>13</v>
      </c>
      <c r="E14" s="281" t="s">
        <v>14</v>
      </c>
      <c r="F14" s="281" t="s">
        <v>15</v>
      </c>
      <c r="G14" s="281" t="s">
        <v>16</v>
      </c>
      <c r="H14" s="281" t="s">
        <v>17</v>
      </c>
      <c r="I14" s="281" t="s">
        <v>18</v>
      </c>
      <c r="J14" s="281" t="s">
        <v>19</v>
      </c>
      <c r="K14" s="281" t="s">
        <v>20</v>
      </c>
      <c r="L14" s="281" t="s">
        <v>21</v>
      </c>
      <c r="M14" s="281" t="s">
        <v>11</v>
      </c>
      <c r="N14" s="284" t="s">
        <v>8</v>
      </c>
      <c r="O14" s="365" t="s">
        <v>22</v>
      </c>
      <c r="P14" s="359" t="s">
        <v>23</v>
      </c>
      <c r="Q14" s="282" t="s">
        <v>24</v>
      </c>
      <c r="R14" s="282" t="s">
        <v>25</v>
      </c>
      <c r="S14" s="282" t="s">
        <v>26</v>
      </c>
      <c r="T14" s="283" t="s">
        <v>27</v>
      </c>
      <c r="U14" s="282" t="s">
        <v>28</v>
      </c>
      <c r="V14" s="282" t="s">
        <v>29</v>
      </c>
      <c r="W14" s="282" t="s">
        <v>30</v>
      </c>
      <c r="X14" s="283" t="s">
        <v>31</v>
      </c>
      <c r="Y14" s="7"/>
      <c r="Z14" s="7"/>
    </row>
    <row r="15" spans="2:26" ht="16.5" customHeight="1" x14ac:dyDescent="0.25">
      <c r="B15" s="31" t="s">
        <v>95</v>
      </c>
      <c r="C15" s="254" t="s">
        <v>36</v>
      </c>
      <c r="D15" s="341">
        <f t="shared" ref="D15:X15" si="0">D16+D21</f>
        <v>3112.6699530999999</v>
      </c>
      <c r="E15" s="157">
        <f t="shared" si="0"/>
        <v>3219.8844414300002</v>
      </c>
      <c r="F15" s="157">
        <f t="shared" si="0"/>
        <v>3284.4017510400004</v>
      </c>
      <c r="G15" s="157">
        <f t="shared" si="0"/>
        <v>3197.6886193599998</v>
      </c>
      <c r="H15" s="157">
        <f t="shared" si="0"/>
        <v>3257.2749919300004</v>
      </c>
      <c r="I15" s="157">
        <f t="shared" si="0"/>
        <v>3030.8330345399995</v>
      </c>
      <c r="J15" s="157">
        <f t="shared" si="0"/>
        <v>3343.8058093599998</v>
      </c>
      <c r="K15" s="157">
        <f t="shared" si="0"/>
        <v>3412.4992594300002</v>
      </c>
      <c r="L15" s="157">
        <f t="shared" si="0"/>
        <v>3334.0297200599998</v>
      </c>
      <c r="M15" s="173">
        <f t="shared" si="0"/>
        <v>3452.9340855100004</v>
      </c>
      <c r="N15" s="175">
        <f t="shared" si="0"/>
        <v>3533.3249142500003</v>
      </c>
      <c r="O15" s="366">
        <f t="shared" si="0"/>
        <v>3874.7010900051855</v>
      </c>
      <c r="P15" s="341">
        <f>P16+P21</f>
        <v>3942.4286010647543</v>
      </c>
      <c r="Q15" s="157">
        <f t="shared" si="0"/>
        <v>3979.4362593445521</v>
      </c>
      <c r="R15" s="157">
        <f t="shared" si="0"/>
        <v>4017.0096477580955</v>
      </c>
      <c r="S15" s="157">
        <f t="shared" si="0"/>
        <v>4055.0756873202804</v>
      </c>
      <c r="T15" s="185">
        <f t="shared" si="0"/>
        <v>4093.5746041473822</v>
      </c>
      <c r="U15" s="157">
        <f t="shared" si="0"/>
        <v>4132.456883576684</v>
      </c>
      <c r="V15" s="157">
        <f t="shared" si="0"/>
        <v>4171.6810489041918</v>
      </c>
      <c r="W15" s="157">
        <f t="shared" si="0"/>
        <v>4211.2120105449285</v>
      </c>
      <c r="X15" s="185">
        <f t="shared" si="0"/>
        <v>4251.0198183877892</v>
      </c>
      <c r="Y15" s="7"/>
      <c r="Z15" s="7"/>
    </row>
    <row r="16" spans="2:26" s="7" customFormat="1" ht="16.5" customHeight="1" x14ac:dyDescent="0.25">
      <c r="B16" s="336" t="s">
        <v>93</v>
      </c>
      <c r="C16" s="24" t="s">
        <v>36</v>
      </c>
      <c r="D16" s="342">
        <f>[5]Summary!D35+[5]Summary!D34</f>
        <v>3112.6699530999999</v>
      </c>
      <c r="E16" s="184">
        <f>[5]Summary!E35+[5]Summary!E34</f>
        <v>3199.54444143</v>
      </c>
      <c r="F16" s="184">
        <f>[5]Summary!F35+[5]Summary!F34</f>
        <v>3267.3517510400002</v>
      </c>
      <c r="G16" s="184">
        <f>[5]Summary!G35+[5]Summary!G34</f>
        <v>3177.4386193599998</v>
      </c>
      <c r="H16" s="184">
        <f>[5]Summary!H35+[5]Summary!H34</f>
        <v>3239.7649919300002</v>
      </c>
      <c r="I16" s="184">
        <f>[5]Summary!I35+[5]Summary!I34</f>
        <v>3014.3930345399995</v>
      </c>
      <c r="J16" s="184">
        <f>[5]Summary!J35+[5]Summary!J34</f>
        <v>3324.35580936</v>
      </c>
      <c r="K16" s="184">
        <f>[5]Summary!K35+[5]Summary!K34</f>
        <v>3336.65925943</v>
      </c>
      <c r="L16" s="184">
        <f>[5]Summary!L35+[5]Summary!L34</f>
        <v>3059.4697200599999</v>
      </c>
      <c r="M16" s="184">
        <f>[5]Summary!M35+[5]Summary!M34</f>
        <v>2827.8440855100002</v>
      </c>
      <c r="N16" s="186">
        <f>[5]Summary!N35+[5]Summary!N34</f>
        <v>2768.2349142500002</v>
      </c>
      <c r="O16" s="367">
        <f>3399-118.8*LN(O13)</f>
        <v>3103.7930900051856</v>
      </c>
      <c r="P16" s="381">
        <f>3410-110.6*LN(P13)</f>
        <v>3126.3166010647542</v>
      </c>
      <c r="Q16" s="100">
        <f t="shared" ref="Q16:X16" si="1">3410-110.6*LN(Q13)</f>
        <v>3118.1202593445523</v>
      </c>
      <c r="R16" s="100">
        <f t="shared" si="1"/>
        <v>3110.4896477580955</v>
      </c>
      <c r="S16" s="100">
        <f t="shared" si="1"/>
        <v>3103.3516873202802</v>
      </c>
      <c r="T16" s="101">
        <f t="shared" si="1"/>
        <v>3096.6466041473823</v>
      </c>
      <c r="U16" s="100">
        <f t="shared" si="1"/>
        <v>3090.3248835766844</v>
      </c>
      <c r="V16" s="100">
        <f t="shared" si="1"/>
        <v>3084.3450489041916</v>
      </c>
      <c r="W16" s="100">
        <f t="shared" si="1"/>
        <v>3078.6720105449285</v>
      </c>
      <c r="X16" s="576">
        <f t="shared" si="1"/>
        <v>3073.2758183877895</v>
      </c>
    </row>
    <row r="17" spans="2:26" s="7" customFormat="1" ht="16.5" customHeight="1" x14ac:dyDescent="0.25">
      <c r="B17" s="143" t="s">
        <v>115</v>
      </c>
      <c r="C17" s="24" t="s">
        <v>34</v>
      </c>
      <c r="D17" s="343">
        <v>0.15840000000000001</v>
      </c>
      <c r="E17" s="111">
        <v>0.15792641845112476</v>
      </c>
      <c r="F17" s="89">
        <v>0.15807925649770452</v>
      </c>
      <c r="G17" s="89">
        <v>0.158</v>
      </c>
      <c r="H17" s="89">
        <v>0.15765921012541878</v>
      </c>
      <c r="I17" s="89">
        <v>0.15869376402130339</v>
      </c>
      <c r="J17" s="89">
        <v>0.156623834545871</v>
      </c>
      <c r="K17" s="89">
        <v>0.15942057294123316</v>
      </c>
      <c r="L17" s="89">
        <v>0.15960670459516352</v>
      </c>
      <c r="M17" s="89">
        <v>0.16029699243534928</v>
      </c>
      <c r="N17" s="110">
        <v>0.1534148190930375</v>
      </c>
      <c r="O17" s="265">
        <f t="shared" ref="O17:X17" si="2">N17</f>
        <v>0.1534148190930375</v>
      </c>
      <c r="P17" s="343">
        <v>0.15240000000000001</v>
      </c>
      <c r="Q17" s="111">
        <f t="shared" si="2"/>
        <v>0.15240000000000001</v>
      </c>
      <c r="R17" s="111">
        <f t="shared" si="2"/>
        <v>0.15240000000000001</v>
      </c>
      <c r="S17" s="111">
        <f t="shared" si="2"/>
        <v>0.15240000000000001</v>
      </c>
      <c r="T17" s="110">
        <f t="shared" si="2"/>
        <v>0.15240000000000001</v>
      </c>
      <c r="U17" s="111">
        <f t="shared" si="2"/>
        <v>0.15240000000000001</v>
      </c>
      <c r="V17" s="111">
        <f t="shared" si="2"/>
        <v>0.15240000000000001</v>
      </c>
      <c r="W17" s="111">
        <f t="shared" si="2"/>
        <v>0.15240000000000001</v>
      </c>
      <c r="X17" s="110">
        <f t="shared" si="2"/>
        <v>0.15240000000000001</v>
      </c>
    </row>
    <row r="18" spans="2:26" s="7" customFormat="1" ht="16.5" customHeight="1" x14ac:dyDescent="0.25">
      <c r="B18" s="143" t="s">
        <v>12</v>
      </c>
      <c r="C18" s="24" t="s">
        <v>34</v>
      </c>
      <c r="D18" s="344">
        <f t="shared" ref="D18:N18" si="3">D19/D20</f>
        <v>0.19118243675637844</v>
      </c>
      <c r="E18" s="236">
        <f t="shared" si="3"/>
        <v>0.19153933875107618</v>
      </c>
      <c r="F18" s="236">
        <f t="shared" si="3"/>
        <v>0.1915480454250201</v>
      </c>
      <c r="G18" s="236">
        <f t="shared" si="3"/>
        <v>0.19155467271708354</v>
      </c>
      <c r="H18" s="102">
        <f t="shared" si="3"/>
        <v>0.19149752851490312</v>
      </c>
      <c r="I18" s="102">
        <f t="shared" si="3"/>
        <v>0.19162737275389194</v>
      </c>
      <c r="J18" s="102">
        <f t="shared" si="3"/>
        <v>0.19128568217623199</v>
      </c>
      <c r="K18" s="102">
        <f t="shared" si="3"/>
        <v>0.19172953377983226</v>
      </c>
      <c r="L18" s="102">
        <f t="shared" si="3"/>
        <v>0.19175715295537149</v>
      </c>
      <c r="M18" s="102">
        <f t="shared" si="3"/>
        <v>0.19186477904222221</v>
      </c>
      <c r="N18" s="103">
        <f t="shared" si="3"/>
        <v>0.19115500184081394</v>
      </c>
      <c r="O18" s="263">
        <v>0.19109999999999999</v>
      </c>
      <c r="P18" s="382">
        <f t="shared" ref="P18:X18" si="4">O18</f>
        <v>0.19109999999999999</v>
      </c>
      <c r="Q18" s="102">
        <f t="shared" si="4"/>
        <v>0.19109999999999999</v>
      </c>
      <c r="R18" s="102">
        <f t="shared" si="4"/>
        <v>0.19109999999999999</v>
      </c>
      <c r="S18" s="102">
        <f t="shared" si="4"/>
        <v>0.19109999999999999</v>
      </c>
      <c r="T18" s="103">
        <f t="shared" si="4"/>
        <v>0.19109999999999999</v>
      </c>
      <c r="U18" s="102">
        <f t="shared" si="4"/>
        <v>0.19109999999999999</v>
      </c>
      <c r="V18" s="102">
        <f t="shared" si="4"/>
        <v>0.19109999999999999</v>
      </c>
      <c r="W18" s="102">
        <f t="shared" si="4"/>
        <v>0.19109999999999999</v>
      </c>
      <c r="X18" s="103">
        <f t="shared" si="4"/>
        <v>0.19109999999999999</v>
      </c>
    </row>
    <row r="19" spans="2:26" s="7" customFormat="1" ht="16.5" customHeight="1" x14ac:dyDescent="0.25">
      <c r="B19" s="143" t="s">
        <v>35</v>
      </c>
      <c r="C19" s="24" t="s">
        <v>36</v>
      </c>
      <c r="D19" s="345">
        <f>[5]Summary!D36</f>
        <v>94.261911710000007</v>
      </c>
      <c r="E19" s="187">
        <f>[5]Summary!E36</f>
        <v>96.783409390000003</v>
      </c>
      <c r="F19" s="187">
        <f>[5]Summary!F36</f>
        <v>98.934668039999991</v>
      </c>
      <c r="G19" s="187">
        <f>[5]Summary!G36</f>
        <v>96.167207939999997</v>
      </c>
      <c r="H19" s="187">
        <f>[5]Summary!H36</f>
        <v>97.812875829999996</v>
      </c>
      <c r="I19" s="187">
        <f>[5]Summary!I36</f>
        <v>91.66790039</v>
      </c>
      <c r="J19" s="187">
        <f>[5]Summary!J36</f>
        <v>99.597357759999994</v>
      </c>
      <c r="K19" s="187">
        <f>[5]Summary!K36</f>
        <v>101.98709945000002</v>
      </c>
      <c r="L19" s="187">
        <f>[5]Summary!L36</f>
        <v>93.637295829999999</v>
      </c>
      <c r="M19" s="187">
        <f>[5]Summary!M36</f>
        <v>86.971326210000015</v>
      </c>
      <c r="N19" s="188">
        <f>[5]Summary!N36</f>
        <v>81.181284849999997</v>
      </c>
      <c r="O19" s="264">
        <f>O20*O18</f>
        <v>90.995677167965326</v>
      </c>
      <c r="P19" s="383">
        <f t="shared" ref="P19:X19" si="5">P20*P18</f>
        <v>91.049719215433512</v>
      </c>
      <c r="Q19" s="41">
        <f t="shared" si="5"/>
        <v>90.81101190985737</v>
      </c>
      <c r="R19" s="41">
        <f t="shared" si="5"/>
        <v>90.588780725033587</v>
      </c>
      <c r="S19" s="41">
        <f t="shared" si="5"/>
        <v>90.380897334908411</v>
      </c>
      <c r="T19" s="34">
        <f t="shared" si="5"/>
        <v>90.185620906410861</v>
      </c>
      <c r="U19" s="41">
        <f t="shared" si="5"/>
        <v>90.001509392329268</v>
      </c>
      <c r="V19" s="41">
        <f t="shared" si="5"/>
        <v>89.827354840068068</v>
      </c>
      <c r="W19" s="41">
        <f t="shared" si="5"/>
        <v>89.66213531318671</v>
      </c>
      <c r="X19" s="34">
        <f t="shared" si="5"/>
        <v>89.504978555431364</v>
      </c>
    </row>
    <row r="20" spans="2:26" s="7" customFormat="1" ht="16.5" customHeight="1" x14ac:dyDescent="0.25">
      <c r="B20" s="105" t="s">
        <v>116</v>
      </c>
      <c r="C20" s="189" t="s">
        <v>36</v>
      </c>
      <c r="D20" s="346">
        <f>D16*D17</f>
        <v>493.04692057104</v>
      </c>
      <c r="E20" s="95">
        <f t="shared" ref="E20:X20" si="6">E16*E17</f>
        <v>505.2925943102444</v>
      </c>
      <c r="F20" s="95">
        <f t="shared" si="6"/>
        <v>516.50053552087616</v>
      </c>
      <c r="G20" s="95">
        <f t="shared" si="6"/>
        <v>502.03530185887996</v>
      </c>
      <c r="H20" s="95">
        <f t="shared" si="6"/>
        <v>510.77878961966758</v>
      </c>
      <c r="I20" s="95">
        <f t="shared" si="6"/>
        <v>478.36537689075129</v>
      </c>
      <c r="J20" s="95">
        <f t="shared" si="6"/>
        <v>520.67335425680574</v>
      </c>
      <c r="K20" s="95">
        <f t="shared" si="6"/>
        <v>531.93213084800129</v>
      </c>
      <c r="L20" s="95">
        <f t="shared" si="6"/>
        <v>488.311879827464</v>
      </c>
      <c r="M20" s="95">
        <f t="shared" si="6"/>
        <v>453.29490198334372</v>
      </c>
      <c r="N20" s="96">
        <f t="shared" si="6"/>
        <v>424.68825857669395</v>
      </c>
      <c r="O20" s="368">
        <f t="shared" si="6"/>
        <v>476.1678554053654</v>
      </c>
      <c r="P20" s="346">
        <f t="shared" si="6"/>
        <v>476.45065000226856</v>
      </c>
      <c r="Q20" s="95">
        <f t="shared" si="6"/>
        <v>475.20152752410979</v>
      </c>
      <c r="R20" s="95">
        <f t="shared" si="6"/>
        <v>474.03862231833381</v>
      </c>
      <c r="S20" s="95">
        <f t="shared" si="6"/>
        <v>472.95079714761073</v>
      </c>
      <c r="T20" s="96">
        <f t="shared" si="6"/>
        <v>471.92894247206107</v>
      </c>
      <c r="U20" s="95">
        <f t="shared" si="6"/>
        <v>470.96551225708674</v>
      </c>
      <c r="V20" s="95">
        <f t="shared" si="6"/>
        <v>470.05418545299881</v>
      </c>
      <c r="W20" s="95">
        <f t="shared" si="6"/>
        <v>469.18961440704715</v>
      </c>
      <c r="X20" s="96">
        <f t="shared" si="6"/>
        <v>468.36723472229914</v>
      </c>
    </row>
    <row r="21" spans="2:26" s="7" customFormat="1" ht="16.5" customHeight="1" x14ac:dyDescent="0.25">
      <c r="B21" s="336" t="s">
        <v>94</v>
      </c>
      <c r="C21" s="24" t="s">
        <v>36</v>
      </c>
      <c r="D21" s="347"/>
      <c r="E21" s="40">
        <v>20.34</v>
      </c>
      <c r="F21" s="40">
        <v>17.05</v>
      </c>
      <c r="G21" s="40">
        <v>20.25</v>
      </c>
      <c r="H21" s="40">
        <v>17.510000000000002</v>
      </c>
      <c r="I21" s="40">
        <v>16.440000000000001</v>
      </c>
      <c r="J21" s="40">
        <v>19.45</v>
      </c>
      <c r="K21" s="40">
        <v>75.84</v>
      </c>
      <c r="L21" s="40">
        <v>274.56</v>
      </c>
      <c r="M21" s="35">
        <v>625.09</v>
      </c>
      <c r="N21" s="101">
        <f>'Appendix C Industry details'!M90</f>
        <v>765.09</v>
      </c>
      <c r="O21" s="367">
        <f t="shared" ref="O21:X21" si="7">228.46+45.204*O13</f>
        <v>770.90800000000002</v>
      </c>
      <c r="P21" s="381">
        <f t="shared" si="7"/>
        <v>816.11200000000008</v>
      </c>
      <c r="Q21" s="100">
        <f t="shared" si="7"/>
        <v>861.31600000000003</v>
      </c>
      <c r="R21" s="100">
        <f t="shared" si="7"/>
        <v>906.5200000000001</v>
      </c>
      <c r="S21" s="100">
        <f t="shared" si="7"/>
        <v>951.72400000000005</v>
      </c>
      <c r="T21" s="101">
        <f t="shared" si="7"/>
        <v>996.928</v>
      </c>
      <c r="U21" s="100">
        <f t="shared" si="7"/>
        <v>1042.1320000000001</v>
      </c>
      <c r="V21" s="100">
        <f t="shared" si="7"/>
        <v>1087.336</v>
      </c>
      <c r="W21" s="100">
        <f t="shared" si="7"/>
        <v>1132.54</v>
      </c>
      <c r="X21" s="101">
        <f t="shared" si="7"/>
        <v>1177.7439999999999</v>
      </c>
    </row>
    <row r="22" spans="2:26" s="7" customFormat="1" ht="16.5" customHeight="1" x14ac:dyDescent="0.25">
      <c r="B22" s="143" t="s">
        <v>115</v>
      </c>
      <c r="C22" s="24" t="s">
        <v>34</v>
      </c>
      <c r="D22" s="347"/>
      <c r="E22" s="102">
        <v>0.19</v>
      </c>
      <c r="F22" s="102">
        <v>0.19</v>
      </c>
      <c r="G22" s="102">
        <v>0.19</v>
      </c>
      <c r="H22" s="102">
        <v>0.19</v>
      </c>
      <c r="I22" s="102">
        <v>0.19</v>
      </c>
      <c r="J22" s="102">
        <v>0.19</v>
      </c>
      <c r="K22" s="102">
        <v>0.19</v>
      </c>
      <c r="L22" s="102">
        <v>0.19</v>
      </c>
      <c r="M22" s="102">
        <v>0.19</v>
      </c>
      <c r="N22" s="103">
        <v>0.19</v>
      </c>
      <c r="O22" s="263">
        <v>0.19</v>
      </c>
      <c r="P22" s="382">
        <v>0.19</v>
      </c>
      <c r="Q22" s="102">
        <v>0.19</v>
      </c>
      <c r="R22" s="102">
        <v>0.19</v>
      </c>
      <c r="S22" s="102">
        <v>0.19</v>
      </c>
      <c r="T22" s="103">
        <v>0.19</v>
      </c>
      <c r="U22" s="102">
        <v>0.19</v>
      </c>
      <c r="V22" s="102">
        <v>0.19</v>
      </c>
      <c r="W22" s="102">
        <v>0.19</v>
      </c>
      <c r="X22" s="103">
        <v>0.19</v>
      </c>
    </row>
    <row r="23" spans="2:26" s="7" customFormat="1" ht="16.5" customHeight="1" x14ac:dyDescent="0.25">
      <c r="B23" s="143" t="s">
        <v>12</v>
      </c>
      <c r="C23" s="24" t="s">
        <v>34</v>
      </c>
      <c r="D23" s="347"/>
      <c r="E23" s="102">
        <v>0.1091</v>
      </c>
      <c r="F23" s="102">
        <f t="shared" ref="F23:X23" si="8">E23</f>
        <v>0.1091</v>
      </c>
      <c r="G23" s="102">
        <f t="shared" si="8"/>
        <v>0.1091</v>
      </c>
      <c r="H23" s="102">
        <f t="shared" si="8"/>
        <v>0.1091</v>
      </c>
      <c r="I23" s="102">
        <f t="shared" si="8"/>
        <v>0.1091</v>
      </c>
      <c r="J23" s="102">
        <f t="shared" si="8"/>
        <v>0.1091</v>
      </c>
      <c r="K23" s="102">
        <f t="shared" si="8"/>
        <v>0.1091</v>
      </c>
      <c r="L23" s="102">
        <f t="shared" si="8"/>
        <v>0.1091</v>
      </c>
      <c r="M23" s="102">
        <f t="shared" si="8"/>
        <v>0.1091</v>
      </c>
      <c r="N23" s="103">
        <f t="shared" si="8"/>
        <v>0.1091</v>
      </c>
      <c r="O23" s="263">
        <f t="shared" si="8"/>
        <v>0.1091</v>
      </c>
      <c r="P23" s="382">
        <f t="shared" si="8"/>
        <v>0.1091</v>
      </c>
      <c r="Q23" s="102">
        <f t="shared" si="8"/>
        <v>0.1091</v>
      </c>
      <c r="R23" s="102">
        <f t="shared" si="8"/>
        <v>0.1091</v>
      </c>
      <c r="S23" s="102">
        <f t="shared" si="8"/>
        <v>0.1091</v>
      </c>
      <c r="T23" s="103">
        <f t="shared" si="8"/>
        <v>0.1091</v>
      </c>
      <c r="U23" s="102">
        <f t="shared" si="8"/>
        <v>0.1091</v>
      </c>
      <c r="V23" s="102">
        <f t="shared" si="8"/>
        <v>0.1091</v>
      </c>
      <c r="W23" s="102">
        <f t="shared" si="8"/>
        <v>0.1091</v>
      </c>
      <c r="X23" s="103">
        <f t="shared" si="8"/>
        <v>0.1091</v>
      </c>
    </row>
    <row r="24" spans="2:26" s="7" customFormat="1" ht="16.5" customHeight="1" x14ac:dyDescent="0.25">
      <c r="B24" s="143" t="s">
        <v>35</v>
      </c>
      <c r="C24" s="24" t="s">
        <v>36</v>
      </c>
      <c r="D24" s="347"/>
      <c r="E24" s="41">
        <f t="shared" ref="E24:X24" si="9">E25*E23</f>
        <v>0.42162785999999997</v>
      </c>
      <c r="F24" s="41">
        <f t="shared" si="9"/>
        <v>0.35342945000000003</v>
      </c>
      <c r="G24" s="41">
        <f t="shared" si="9"/>
        <v>0.41976225</v>
      </c>
      <c r="H24" s="41">
        <f t="shared" si="9"/>
        <v>0.36296479000000004</v>
      </c>
      <c r="I24" s="41">
        <f t="shared" si="9"/>
        <v>0.34078476000000002</v>
      </c>
      <c r="J24" s="41">
        <f t="shared" si="9"/>
        <v>0.40317904999999998</v>
      </c>
      <c r="K24" s="41">
        <f t="shared" si="9"/>
        <v>1.57208736</v>
      </c>
      <c r="L24" s="41">
        <f t="shared" si="9"/>
        <v>5.6913542400000008</v>
      </c>
      <c r="M24" s="237">
        <f t="shared" si="9"/>
        <v>12.957490610000002</v>
      </c>
      <c r="N24" s="238">
        <f t="shared" si="9"/>
        <v>15.859550609999999</v>
      </c>
      <c r="O24" s="369">
        <f t="shared" si="9"/>
        <v>15.980151932</v>
      </c>
      <c r="P24" s="384">
        <f t="shared" si="9"/>
        <v>16.917185648</v>
      </c>
      <c r="Q24" s="237">
        <f t="shared" si="9"/>
        <v>17.854219364000002</v>
      </c>
      <c r="R24" s="237">
        <f t="shared" si="9"/>
        <v>18.791253080000004</v>
      </c>
      <c r="S24" s="237">
        <f t="shared" si="9"/>
        <v>19.728286796000003</v>
      </c>
      <c r="T24" s="238">
        <f t="shared" si="9"/>
        <v>20.665320512000001</v>
      </c>
      <c r="U24" s="237">
        <f t="shared" si="9"/>
        <v>21.602354228000003</v>
      </c>
      <c r="V24" s="237">
        <f t="shared" si="9"/>
        <v>22.539387944000001</v>
      </c>
      <c r="W24" s="237">
        <f t="shared" si="9"/>
        <v>23.47642166</v>
      </c>
      <c r="X24" s="238">
        <f t="shared" si="9"/>
        <v>24.413455375999998</v>
      </c>
    </row>
    <row r="25" spans="2:26" s="7" customFormat="1" ht="16.5" customHeight="1" x14ac:dyDescent="0.25">
      <c r="B25" s="105" t="s">
        <v>116</v>
      </c>
      <c r="C25" s="189" t="s">
        <v>36</v>
      </c>
      <c r="D25" s="348"/>
      <c r="E25" s="95">
        <f t="shared" ref="E25:X25" si="10">E21*E22</f>
        <v>3.8645999999999998</v>
      </c>
      <c r="F25" s="95">
        <f t="shared" si="10"/>
        <v>3.2395</v>
      </c>
      <c r="G25" s="95">
        <f t="shared" si="10"/>
        <v>3.8475000000000001</v>
      </c>
      <c r="H25" s="95">
        <f t="shared" si="10"/>
        <v>3.3269000000000002</v>
      </c>
      <c r="I25" s="95">
        <f t="shared" si="10"/>
        <v>3.1236000000000002</v>
      </c>
      <c r="J25" s="95">
        <f t="shared" si="10"/>
        <v>3.6955</v>
      </c>
      <c r="K25" s="95">
        <f t="shared" si="10"/>
        <v>14.409600000000001</v>
      </c>
      <c r="L25" s="95">
        <f t="shared" si="10"/>
        <v>52.166400000000003</v>
      </c>
      <c r="M25" s="95">
        <f t="shared" si="10"/>
        <v>118.76710000000001</v>
      </c>
      <c r="N25" s="96">
        <f t="shared" si="10"/>
        <v>145.36709999999999</v>
      </c>
      <c r="O25" s="368">
        <f t="shared" si="10"/>
        <v>146.47252</v>
      </c>
      <c r="P25" s="346">
        <f t="shared" si="10"/>
        <v>155.06128000000001</v>
      </c>
      <c r="Q25" s="95">
        <f t="shared" si="10"/>
        <v>163.65004000000002</v>
      </c>
      <c r="R25" s="95">
        <f t="shared" si="10"/>
        <v>172.23880000000003</v>
      </c>
      <c r="S25" s="95">
        <f t="shared" si="10"/>
        <v>180.82756000000001</v>
      </c>
      <c r="T25" s="96">
        <f t="shared" si="10"/>
        <v>189.41632000000001</v>
      </c>
      <c r="U25" s="95">
        <f t="shared" si="10"/>
        <v>198.00508000000002</v>
      </c>
      <c r="V25" s="95">
        <f t="shared" si="10"/>
        <v>206.59384</v>
      </c>
      <c r="W25" s="95">
        <f t="shared" si="10"/>
        <v>215.18260000000001</v>
      </c>
      <c r="X25" s="96">
        <f t="shared" si="10"/>
        <v>223.77135999999999</v>
      </c>
    </row>
    <row r="26" spans="2:26" s="7" customFormat="1" ht="16.5" hidden="1" customHeight="1" x14ac:dyDescent="0.25">
      <c r="B26" s="336" t="s">
        <v>135</v>
      </c>
      <c r="C26" s="24" t="s">
        <v>36</v>
      </c>
      <c r="D26" s="347"/>
      <c r="E26" s="41"/>
      <c r="F26" s="41"/>
      <c r="G26" s="41"/>
      <c r="H26" s="41"/>
      <c r="I26" s="41"/>
      <c r="J26" s="41"/>
      <c r="K26" s="41"/>
      <c r="L26" s="41"/>
      <c r="M26" s="41"/>
      <c r="N26" s="177">
        <f>'[6]MAIN SHEET'!$B$35</f>
        <v>17.96325886</v>
      </c>
      <c r="O26" s="264"/>
      <c r="P26" s="383"/>
      <c r="Q26" s="41"/>
      <c r="R26" s="41"/>
      <c r="S26" s="41"/>
      <c r="T26" s="34"/>
      <c r="U26" s="41"/>
      <c r="V26" s="41"/>
      <c r="W26" s="41"/>
      <c r="X26" s="34"/>
    </row>
    <row r="27" spans="2:26" s="7" customFormat="1" ht="16.5" hidden="1" customHeight="1" x14ac:dyDescent="0.25">
      <c r="B27" s="143"/>
      <c r="C27" s="24"/>
      <c r="D27" s="347"/>
      <c r="E27" s="41"/>
      <c r="F27" s="41"/>
      <c r="G27" s="41"/>
      <c r="H27" s="41"/>
      <c r="I27" s="41"/>
      <c r="J27" s="41"/>
      <c r="K27" s="41"/>
      <c r="L27" s="41"/>
      <c r="M27" s="41"/>
      <c r="N27" s="177">
        <f>N26/N19*N20</f>
        <v>93.972214626950048</v>
      </c>
      <c r="O27" s="264"/>
      <c r="P27" s="383"/>
      <c r="Q27" s="41"/>
      <c r="R27" s="41"/>
      <c r="S27" s="41"/>
      <c r="T27" s="34"/>
      <c r="U27" s="41"/>
      <c r="V27" s="41"/>
      <c r="W27" s="41"/>
      <c r="X27" s="34"/>
    </row>
    <row r="28" spans="2:26" s="7" customFormat="1" ht="16.5" customHeight="1" x14ac:dyDescent="0.25">
      <c r="B28" s="149" t="s">
        <v>139</v>
      </c>
      <c r="C28" s="24" t="s">
        <v>34</v>
      </c>
      <c r="D28" s="347"/>
      <c r="E28" s="41"/>
      <c r="F28" s="41"/>
      <c r="G28" s="41"/>
      <c r="H28" s="41"/>
      <c r="I28" s="41"/>
      <c r="J28" s="41"/>
      <c r="K28" s="41"/>
      <c r="L28" s="41"/>
      <c r="M28" s="41"/>
      <c r="N28" s="176">
        <f>N29/(N21+N16)</f>
        <v>0.16133680666548508</v>
      </c>
      <c r="O28" s="264"/>
      <c r="P28" s="383"/>
      <c r="Q28" s="41"/>
      <c r="R28" s="41"/>
      <c r="S28" s="41"/>
      <c r="T28" s="34"/>
      <c r="U28" s="41"/>
      <c r="V28" s="41"/>
      <c r="W28" s="41"/>
      <c r="X28" s="34"/>
    </row>
    <row r="29" spans="2:26" s="7" customFormat="1" ht="16.5" customHeight="1" x14ac:dyDescent="0.25">
      <c r="B29" s="149" t="s">
        <v>118</v>
      </c>
      <c r="C29" s="24" t="s">
        <v>36</v>
      </c>
      <c r="D29" s="347"/>
      <c r="E29" s="40">
        <f t="shared" ref="E29:X29" si="11">E25+E20</f>
        <v>509.15719431024439</v>
      </c>
      <c r="F29" s="40">
        <f t="shared" si="11"/>
        <v>519.74003552087618</v>
      </c>
      <c r="G29" s="40">
        <f t="shared" si="11"/>
        <v>505.88280185887999</v>
      </c>
      <c r="H29" s="40">
        <f t="shared" si="11"/>
        <v>514.1056896196676</v>
      </c>
      <c r="I29" s="40">
        <f t="shared" si="11"/>
        <v>481.4889768907513</v>
      </c>
      <c r="J29" s="40">
        <f t="shared" si="11"/>
        <v>524.36885425680578</v>
      </c>
      <c r="K29" s="40">
        <f t="shared" si="11"/>
        <v>546.34173084800125</v>
      </c>
      <c r="L29" s="40">
        <f t="shared" si="11"/>
        <v>540.47827982746401</v>
      </c>
      <c r="M29" s="40">
        <f t="shared" si="11"/>
        <v>572.06200198334375</v>
      </c>
      <c r="N29" s="30">
        <f t="shared" si="11"/>
        <v>570.05535857669395</v>
      </c>
      <c r="O29" s="262">
        <f t="shared" si="11"/>
        <v>622.64037540536538</v>
      </c>
      <c r="P29" s="347">
        <f t="shared" si="11"/>
        <v>631.51193000226863</v>
      </c>
      <c r="Q29" s="40">
        <f t="shared" si="11"/>
        <v>638.85156752410978</v>
      </c>
      <c r="R29" s="40">
        <f t="shared" si="11"/>
        <v>646.27742231833383</v>
      </c>
      <c r="S29" s="40">
        <f t="shared" si="11"/>
        <v>653.77835714761068</v>
      </c>
      <c r="T29" s="25">
        <f t="shared" si="11"/>
        <v>661.34526247206111</v>
      </c>
      <c r="U29" s="40">
        <f t="shared" si="11"/>
        <v>668.97059225708676</v>
      </c>
      <c r="V29" s="40">
        <f t="shared" si="11"/>
        <v>676.64802545299881</v>
      </c>
      <c r="W29" s="40">
        <f t="shared" si="11"/>
        <v>684.37221440704718</v>
      </c>
      <c r="X29" s="25">
        <f t="shared" si="11"/>
        <v>692.1385947222991</v>
      </c>
    </row>
    <row r="30" spans="2:26" s="7" customFormat="1" ht="16.5" customHeight="1" x14ac:dyDescent="0.25">
      <c r="B30" s="149" t="s">
        <v>119</v>
      </c>
      <c r="C30" s="24" t="s">
        <v>36</v>
      </c>
      <c r="D30" s="347"/>
      <c r="E30" s="40">
        <f>D19+E24</f>
        <v>94.683539570000008</v>
      </c>
      <c r="F30" s="40">
        <f t="shared" ref="F30:X30" si="12">F19+F24</f>
        <v>99.288097489999984</v>
      </c>
      <c r="G30" s="40">
        <f t="shared" si="12"/>
        <v>96.586970190000002</v>
      </c>
      <c r="H30" s="40">
        <f t="shared" si="12"/>
        <v>98.175840620000002</v>
      </c>
      <c r="I30" s="40">
        <f t="shared" si="12"/>
        <v>92.008685150000005</v>
      </c>
      <c r="J30" s="40">
        <f t="shared" si="12"/>
        <v>100.00053681</v>
      </c>
      <c r="K30" s="40">
        <f t="shared" si="12"/>
        <v>103.55918681000001</v>
      </c>
      <c r="L30" s="40">
        <f t="shared" si="12"/>
        <v>99.328650069999995</v>
      </c>
      <c r="M30" s="40">
        <f t="shared" si="12"/>
        <v>99.928816820000023</v>
      </c>
      <c r="N30" s="202">
        <f t="shared" si="12"/>
        <v>97.040835459999997</v>
      </c>
      <c r="O30" s="262">
        <f t="shared" si="12"/>
        <v>106.97582909996532</v>
      </c>
      <c r="P30" s="347">
        <f t="shared" si="12"/>
        <v>107.96690486343351</v>
      </c>
      <c r="Q30" s="40">
        <f t="shared" si="12"/>
        <v>108.66523127385737</v>
      </c>
      <c r="R30" s="40">
        <f t="shared" si="12"/>
        <v>109.38003380503359</v>
      </c>
      <c r="S30" s="40">
        <f t="shared" si="12"/>
        <v>110.10918413090842</v>
      </c>
      <c r="T30" s="25">
        <f t="shared" si="12"/>
        <v>110.85094141841086</v>
      </c>
      <c r="U30" s="40">
        <f t="shared" si="12"/>
        <v>111.60386362032926</v>
      </c>
      <c r="V30" s="40">
        <f t="shared" si="12"/>
        <v>112.36674278406807</v>
      </c>
      <c r="W30" s="40">
        <f t="shared" si="12"/>
        <v>113.13855697318671</v>
      </c>
      <c r="X30" s="25">
        <f t="shared" si="12"/>
        <v>113.91843393143137</v>
      </c>
      <c r="Z30" s="182"/>
    </row>
    <row r="31" spans="2:26" s="7" customFormat="1" ht="16.5" customHeight="1" x14ac:dyDescent="0.25">
      <c r="B31" s="106" t="s">
        <v>117</v>
      </c>
      <c r="C31" s="189" t="s">
        <v>34</v>
      </c>
      <c r="D31" s="348"/>
      <c r="E31" s="107">
        <f t="shared" ref="E31:X31" si="13">E30/E29</f>
        <v>0.1859613114143813</v>
      </c>
      <c r="F31" s="107">
        <f t="shared" si="13"/>
        <v>0.19103415304632987</v>
      </c>
      <c r="G31" s="107">
        <f t="shared" si="13"/>
        <v>0.19092756234267813</v>
      </c>
      <c r="H31" s="107">
        <f t="shared" si="13"/>
        <v>0.19096431454129581</v>
      </c>
      <c r="I31" s="107">
        <f t="shared" si="13"/>
        <v>0.19109198666219218</v>
      </c>
      <c r="J31" s="107">
        <f t="shared" si="13"/>
        <v>0.19070647693546169</v>
      </c>
      <c r="K31" s="107">
        <f t="shared" si="13"/>
        <v>0.18955020450160598</v>
      </c>
      <c r="L31" s="107">
        <f t="shared" si="13"/>
        <v>0.18377917074060501</v>
      </c>
      <c r="M31" s="107">
        <f t="shared" si="13"/>
        <v>0.17468179405998996</v>
      </c>
      <c r="N31" s="178">
        <f t="shared" si="13"/>
        <v>0.17023054691090031</v>
      </c>
      <c r="O31" s="270">
        <f t="shared" si="13"/>
        <v>0.171809977838844</v>
      </c>
      <c r="P31" s="385">
        <f t="shared" si="13"/>
        <v>0.17096574068370435</v>
      </c>
      <c r="Q31" s="107">
        <f t="shared" si="13"/>
        <v>0.17009464607716787</v>
      </c>
      <c r="R31" s="107">
        <f t="shared" si="13"/>
        <v>0.16924625559819848</v>
      </c>
      <c r="S31" s="107">
        <f t="shared" si="13"/>
        <v>0.16841974489841954</v>
      </c>
      <c r="T31" s="108">
        <f t="shared" si="13"/>
        <v>0.16761432750581443</v>
      </c>
      <c r="U31" s="107">
        <f t="shared" si="13"/>
        <v>0.16682925215558606</v>
      </c>
      <c r="V31" s="107">
        <f t="shared" si="13"/>
        <v>0.16606380061309034</v>
      </c>
      <c r="W31" s="107">
        <f t="shared" si="13"/>
        <v>0.16531728581531041</v>
      </c>
      <c r="X31" s="108">
        <f t="shared" si="13"/>
        <v>0.16458905022792131</v>
      </c>
    </row>
    <row r="32" spans="2:26" s="7" customFormat="1" ht="16.5" customHeight="1" x14ac:dyDescent="0.25">
      <c r="B32" s="31" t="s">
        <v>146</v>
      </c>
      <c r="C32" s="254" t="s">
        <v>36</v>
      </c>
      <c r="D32" s="349"/>
      <c r="E32" s="169">
        <f>E34-E15</f>
        <v>634.42555856999979</v>
      </c>
      <c r="F32" s="169">
        <f>F34-F15</f>
        <v>627.29824895999946</v>
      </c>
      <c r="G32" s="169">
        <f>G34-G15</f>
        <v>549.83138064000013</v>
      </c>
      <c r="H32" s="169">
        <f>'Appendix C Industry details'!G96</f>
        <v>523.54999999999995</v>
      </c>
      <c r="I32" s="169">
        <f>'Appendix C Industry details'!H96</f>
        <v>468.98</v>
      </c>
      <c r="J32" s="169">
        <f>'Appendix C Industry details'!I96</f>
        <v>564.26</v>
      </c>
      <c r="K32" s="169">
        <f>'Appendix C Industry details'!J96</f>
        <v>438.99</v>
      </c>
      <c r="L32" s="169">
        <f>'Appendix C Industry details'!K96</f>
        <v>306.10000000000002</v>
      </c>
      <c r="M32" s="37">
        <f>'Appendix C Industry details'!L96</f>
        <v>218.63</v>
      </c>
      <c r="N32" s="38">
        <f>'Appendix C Industry details'!M96</f>
        <v>435.94</v>
      </c>
      <c r="O32" s="267">
        <f t="shared" ref="O32:X32" si="14">AVERAGE(E32:N32)</f>
        <v>476.8005188169999</v>
      </c>
      <c r="P32" s="348">
        <f t="shared" si="14"/>
        <v>461.03801484169998</v>
      </c>
      <c r="Q32" s="37">
        <f t="shared" si="14"/>
        <v>444.41199142987</v>
      </c>
      <c r="R32" s="37">
        <f t="shared" si="14"/>
        <v>433.87005250885704</v>
      </c>
      <c r="S32" s="37">
        <f t="shared" si="14"/>
        <v>424.90205775974266</v>
      </c>
      <c r="T32" s="38">
        <f t="shared" si="14"/>
        <v>420.49426353571698</v>
      </c>
      <c r="U32" s="37">
        <f t="shared" si="14"/>
        <v>406.11768988928861</v>
      </c>
      <c r="V32" s="37">
        <f t="shared" si="14"/>
        <v>402.83045887821754</v>
      </c>
      <c r="W32" s="37">
        <f t="shared" si="14"/>
        <v>412.50350476603927</v>
      </c>
      <c r="X32" s="38">
        <f t="shared" si="14"/>
        <v>431.89085524264317</v>
      </c>
    </row>
    <row r="33" spans="2:24" s="7" customFormat="1" ht="16.5" customHeight="1" x14ac:dyDescent="0.25">
      <c r="B33" s="170" t="s">
        <v>155</v>
      </c>
      <c r="C33" s="254" t="s">
        <v>36</v>
      </c>
      <c r="D33" s="350"/>
      <c r="E33" s="171">
        <f t="shared" ref="E33:X33" si="15">E15+E32</f>
        <v>3854.31</v>
      </c>
      <c r="F33" s="171">
        <f t="shared" si="15"/>
        <v>3911.7</v>
      </c>
      <c r="G33" s="171">
        <f t="shared" si="15"/>
        <v>3747.52</v>
      </c>
      <c r="H33" s="171">
        <f t="shared" si="15"/>
        <v>3780.8249919300006</v>
      </c>
      <c r="I33" s="171">
        <f t="shared" si="15"/>
        <v>3499.8130345399995</v>
      </c>
      <c r="J33" s="171">
        <f t="shared" si="15"/>
        <v>3908.0658093599995</v>
      </c>
      <c r="K33" s="171">
        <f t="shared" si="15"/>
        <v>3851.4892594299999</v>
      </c>
      <c r="L33" s="171">
        <f t="shared" si="15"/>
        <v>3640.1297200599997</v>
      </c>
      <c r="M33" s="174">
        <f t="shared" si="15"/>
        <v>3671.5640855100005</v>
      </c>
      <c r="N33" s="179">
        <f t="shared" si="15"/>
        <v>3969.2649142500004</v>
      </c>
      <c r="O33" s="370">
        <f t="shared" si="15"/>
        <v>4351.5016088221855</v>
      </c>
      <c r="P33" s="350">
        <f t="shared" si="15"/>
        <v>4403.4666159064545</v>
      </c>
      <c r="Q33" s="171">
        <f t="shared" si="15"/>
        <v>4423.848250774422</v>
      </c>
      <c r="R33" s="171">
        <f t="shared" si="15"/>
        <v>4450.8797002669526</v>
      </c>
      <c r="S33" s="171">
        <f t="shared" si="15"/>
        <v>4479.9777450800229</v>
      </c>
      <c r="T33" s="190">
        <f t="shared" si="15"/>
        <v>4514.0688676830996</v>
      </c>
      <c r="U33" s="171">
        <f t="shared" si="15"/>
        <v>4538.5745734659722</v>
      </c>
      <c r="V33" s="171">
        <f t="shared" si="15"/>
        <v>4574.5115077824094</v>
      </c>
      <c r="W33" s="171">
        <f t="shared" si="15"/>
        <v>4623.7155153109679</v>
      </c>
      <c r="X33" s="190">
        <f t="shared" si="15"/>
        <v>4682.910673630432</v>
      </c>
    </row>
    <row r="34" spans="2:24" s="141" customFormat="1" ht="16.5" customHeight="1" x14ac:dyDescent="0.25">
      <c r="B34" s="239"/>
      <c r="C34" s="337"/>
      <c r="D34" s="351"/>
      <c r="E34" s="240">
        <v>3854.31</v>
      </c>
      <c r="F34" s="240">
        <v>3911.7</v>
      </c>
      <c r="G34" s="240">
        <v>3747.52</v>
      </c>
      <c r="H34" s="240">
        <v>3782.04</v>
      </c>
      <c r="I34" s="240">
        <v>3505.37</v>
      </c>
      <c r="J34" s="240">
        <v>3907.24</v>
      </c>
      <c r="K34" s="240">
        <v>3850.88</v>
      </c>
      <c r="L34" s="240">
        <v>3642.08</v>
      </c>
      <c r="M34" s="240">
        <v>3663.62</v>
      </c>
      <c r="N34" s="250">
        <v>3828.63</v>
      </c>
      <c r="O34" s="371"/>
      <c r="P34" s="386"/>
      <c r="Q34" s="241"/>
      <c r="R34" s="241"/>
      <c r="S34" s="241"/>
      <c r="T34" s="387"/>
      <c r="U34" s="241"/>
      <c r="V34" s="241"/>
      <c r="W34" s="241"/>
      <c r="X34" s="387"/>
    </row>
    <row r="35" spans="2:24" x14ac:dyDescent="0.25">
      <c r="B35" s="7"/>
      <c r="C35" s="8"/>
      <c r="D35" s="352"/>
      <c r="E35" s="45"/>
      <c r="F35" s="45"/>
      <c r="G35" s="45"/>
      <c r="H35" s="45"/>
      <c r="I35" s="45"/>
      <c r="J35" s="45"/>
      <c r="K35" s="45"/>
      <c r="L35" s="45"/>
      <c r="M35" s="45"/>
      <c r="N35" s="206"/>
      <c r="O35" s="372"/>
      <c r="P35" s="6"/>
      <c r="Q35" s="7"/>
      <c r="R35" s="7"/>
      <c r="S35" s="7"/>
      <c r="T35" s="8"/>
      <c r="U35" s="7"/>
      <c r="V35" s="7"/>
      <c r="W35" s="7"/>
      <c r="X35" s="8"/>
    </row>
    <row r="36" spans="2:24" s="7" customFormat="1" ht="16.5" customHeight="1" x14ac:dyDescent="0.25">
      <c r="B36" s="394" t="s">
        <v>231</v>
      </c>
      <c r="C36" s="24"/>
      <c r="D36" s="294">
        <v>1</v>
      </c>
      <c r="E36" s="244">
        <v>2</v>
      </c>
      <c r="F36" s="244">
        <v>3</v>
      </c>
      <c r="G36" s="244">
        <v>4</v>
      </c>
      <c r="H36" s="244">
        <v>5</v>
      </c>
      <c r="I36" s="244">
        <v>6</v>
      </c>
      <c r="J36" s="244">
        <v>7</v>
      </c>
      <c r="K36" s="244">
        <v>8</v>
      </c>
      <c r="L36" s="244">
        <v>9</v>
      </c>
      <c r="M36" s="244">
        <v>10</v>
      </c>
      <c r="N36" s="251">
        <v>11</v>
      </c>
      <c r="O36" s="373">
        <v>12</v>
      </c>
      <c r="P36" s="294">
        <v>13</v>
      </c>
      <c r="Q36" s="244">
        <v>14</v>
      </c>
      <c r="R36" s="244">
        <v>15</v>
      </c>
      <c r="S36" s="244">
        <v>16</v>
      </c>
      <c r="T36" s="251">
        <v>17</v>
      </c>
      <c r="U36" s="244">
        <v>18</v>
      </c>
      <c r="V36" s="244">
        <v>19</v>
      </c>
      <c r="W36" s="244">
        <v>20</v>
      </c>
      <c r="X36" s="251">
        <v>21</v>
      </c>
    </row>
    <row r="37" spans="2:24" ht="16.5" customHeight="1" x14ac:dyDescent="0.25">
      <c r="B37" s="31" t="s">
        <v>120</v>
      </c>
      <c r="C37" s="309"/>
      <c r="D37" s="353" t="s">
        <v>13</v>
      </c>
      <c r="E37" s="28" t="s">
        <v>14</v>
      </c>
      <c r="F37" s="28" t="s">
        <v>15</v>
      </c>
      <c r="G37" s="28" t="s">
        <v>16</v>
      </c>
      <c r="H37" s="28" t="s">
        <v>17</v>
      </c>
      <c r="I37" s="28" t="s">
        <v>18</v>
      </c>
      <c r="J37" s="28" t="s">
        <v>19</v>
      </c>
      <c r="K37" s="28" t="s">
        <v>20</v>
      </c>
      <c r="L37" s="28" t="s">
        <v>21</v>
      </c>
      <c r="M37" s="28" t="s">
        <v>11</v>
      </c>
      <c r="N37" s="23" t="s">
        <v>8</v>
      </c>
      <c r="O37" s="268" t="s">
        <v>22</v>
      </c>
      <c r="P37" s="353" t="s">
        <v>23</v>
      </c>
      <c r="Q37" s="28" t="s">
        <v>24</v>
      </c>
      <c r="R37" s="28" t="s">
        <v>25</v>
      </c>
      <c r="S37" s="28" t="s">
        <v>26</v>
      </c>
      <c r="T37" s="29" t="s">
        <v>27</v>
      </c>
      <c r="U37" s="28" t="s">
        <v>28</v>
      </c>
      <c r="V37" s="28" t="s">
        <v>29</v>
      </c>
      <c r="W37" s="28" t="s">
        <v>30</v>
      </c>
      <c r="X37" s="29" t="s">
        <v>31</v>
      </c>
    </row>
    <row r="38" spans="2:24" ht="16.5" customHeight="1" x14ac:dyDescent="0.25">
      <c r="B38" s="31" t="s">
        <v>95</v>
      </c>
      <c r="C38" s="309"/>
      <c r="D38" s="157">
        <f t="shared" ref="D38:X38" si="16">D39+D44</f>
        <v>721.02420744000005</v>
      </c>
      <c r="E38" s="157">
        <f t="shared" si="16"/>
        <v>774.34614436999993</v>
      </c>
      <c r="F38" s="157">
        <f t="shared" si="16"/>
        <v>795.32723435000003</v>
      </c>
      <c r="G38" s="157">
        <f t="shared" si="16"/>
        <v>764.03421566999987</v>
      </c>
      <c r="H38" s="157">
        <f t="shared" si="16"/>
        <v>760.30826352999998</v>
      </c>
      <c r="I38" s="157">
        <f t="shared" si="16"/>
        <v>850.82443351000006</v>
      </c>
      <c r="J38" s="157">
        <f t="shared" si="16"/>
        <v>827.71288276999996</v>
      </c>
      <c r="K38" s="157">
        <f t="shared" si="16"/>
        <v>852.97037091000004</v>
      </c>
      <c r="L38" s="157">
        <f t="shared" si="16"/>
        <v>928.81433602000016</v>
      </c>
      <c r="M38" s="173">
        <f t="shared" si="16"/>
        <v>966.47676074000003</v>
      </c>
      <c r="N38" s="175">
        <f t="shared" si="16"/>
        <v>1017.6323466899998</v>
      </c>
      <c r="O38" s="366">
        <f t="shared" si="16"/>
        <v>913.61251699000002</v>
      </c>
      <c r="P38" s="341">
        <f t="shared" si="16"/>
        <v>1054.3419999999999</v>
      </c>
      <c r="Q38" s="157">
        <f t="shared" si="16"/>
        <v>1037.3309999999999</v>
      </c>
      <c r="R38" s="157">
        <f t="shared" si="16"/>
        <v>1052.32</v>
      </c>
      <c r="S38" s="157">
        <f t="shared" si="16"/>
        <v>1062.9177500000001</v>
      </c>
      <c r="T38" s="185">
        <f t="shared" si="16"/>
        <v>1081.2001874999999</v>
      </c>
      <c r="U38" s="157">
        <f t="shared" si="16"/>
        <v>1095.9147343750001</v>
      </c>
      <c r="V38" s="157">
        <f t="shared" si="16"/>
        <v>1110.5606679687498</v>
      </c>
      <c r="W38" s="157">
        <f t="shared" si="16"/>
        <v>1125.1208349609374</v>
      </c>
      <c r="X38" s="185">
        <f t="shared" si="16"/>
        <v>1140.6716062011719</v>
      </c>
    </row>
    <row r="39" spans="2:24" s="7" customFormat="1" ht="16.5" customHeight="1" x14ac:dyDescent="0.25">
      <c r="B39" s="336" t="s">
        <v>93</v>
      </c>
      <c r="C39" s="24" t="s">
        <v>36</v>
      </c>
      <c r="D39" s="342">
        <f>[5]Summary!D24+[5]Summary!D25</f>
        <v>721.02420744000005</v>
      </c>
      <c r="E39" s="184">
        <f>[5]Summary!E24+[5]Summary!E25</f>
        <v>774.34614436999993</v>
      </c>
      <c r="F39" s="184">
        <f>[5]Summary!F24+[5]Summary!F25</f>
        <v>795.32723435000003</v>
      </c>
      <c r="G39" s="184">
        <f>[5]Summary!G24+[5]Summary!G25</f>
        <v>764.03421566999987</v>
      </c>
      <c r="H39" s="184">
        <f>[5]Summary!H24+[5]Summary!H25</f>
        <v>760.30826352999998</v>
      </c>
      <c r="I39" s="184">
        <f>[5]Summary!I24+[5]Summary!I25</f>
        <v>850.82443351000006</v>
      </c>
      <c r="J39" s="184">
        <f>[5]Summary!J24+[5]Summary!J25</f>
        <v>827.71288276999996</v>
      </c>
      <c r="K39" s="184">
        <f>[5]Summary!K24+[5]Summary!K25</f>
        <v>852.58037091000006</v>
      </c>
      <c r="L39" s="184">
        <f>[5]Summary!L24+[5]Summary!L25</f>
        <v>918.85433602000012</v>
      </c>
      <c r="M39" s="184">
        <f>[5]Summary!M24+[5]Summary!M25</f>
        <v>920.98676074000002</v>
      </c>
      <c r="N39" s="186">
        <f>[5]Summary!N24+[5]Summary!N25</f>
        <v>901.88234668999985</v>
      </c>
      <c r="O39" s="260">
        <f>[7]Summary!$P$14</f>
        <v>832.99251699000001</v>
      </c>
      <c r="P39" s="330">
        <f>735.3+16.989*P36</f>
        <v>956.15699999999993</v>
      </c>
      <c r="Q39" s="99">
        <f t="shared" ref="Q39:X39" si="17">729.3+14.989*Q36</f>
        <v>939.14599999999996</v>
      </c>
      <c r="R39" s="99">
        <f t="shared" si="17"/>
        <v>954.13499999999999</v>
      </c>
      <c r="S39" s="99">
        <f t="shared" si="17"/>
        <v>969.12400000000002</v>
      </c>
      <c r="T39" s="331">
        <f t="shared" si="17"/>
        <v>984.11299999999994</v>
      </c>
      <c r="U39" s="99">
        <f t="shared" si="17"/>
        <v>999.10199999999998</v>
      </c>
      <c r="V39" s="99">
        <f t="shared" si="17"/>
        <v>1014.0909999999999</v>
      </c>
      <c r="W39" s="99">
        <f t="shared" si="17"/>
        <v>1029.08</v>
      </c>
      <c r="X39" s="331">
        <f t="shared" si="17"/>
        <v>1044.069</v>
      </c>
    </row>
    <row r="40" spans="2:24" s="7" customFormat="1" ht="16.5" customHeight="1" x14ac:dyDescent="0.25">
      <c r="B40" s="143" t="s">
        <v>115</v>
      </c>
      <c r="C40" s="24" t="s">
        <v>34</v>
      </c>
      <c r="D40" s="354">
        <v>0.16351867572412931</v>
      </c>
      <c r="E40" s="89">
        <v>0.16410311322295268</v>
      </c>
      <c r="F40" s="89">
        <v>0.16368292649726857</v>
      </c>
      <c r="G40" s="89">
        <v>0.16417370086747199</v>
      </c>
      <c r="H40" s="89">
        <v>0.16539206221113328</v>
      </c>
      <c r="I40" s="89">
        <v>0.16432517300803048</v>
      </c>
      <c r="J40" s="89">
        <v>0.16575066659557761</v>
      </c>
      <c r="K40" s="89">
        <v>0.16544601513865279</v>
      </c>
      <c r="L40" s="89">
        <v>0.16494764725342062</v>
      </c>
      <c r="M40" s="89">
        <v>0.16513798293699664</v>
      </c>
      <c r="N40" s="91">
        <v>0.16287316605963348</v>
      </c>
      <c r="O40" s="261">
        <f t="shared" ref="O40:X40" si="18">N40</f>
        <v>0.16287316605963348</v>
      </c>
      <c r="P40" s="354">
        <f t="shared" si="18"/>
        <v>0.16287316605963348</v>
      </c>
      <c r="Q40" s="89">
        <f t="shared" si="18"/>
        <v>0.16287316605963348</v>
      </c>
      <c r="R40" s="89">
        <f t="shared" si="18"/>
        <v>0.16287316605963348</v>
      </c>
      <c r="S40" s="89">
        <f t="shared" si="18"/>
        <v>0.16287316605963348</v>
      </c>
      <c r="T40" s="91">
        <f t="shared" si="18"/>
        <v>0.16287316605963348</v>
      </c>
      <c r="U40" s="89">
        <f t="shared" si="18"/>
        <v>0.16287316605963348</v>
      </c>
      <c r="V40" s="89">
        <f t="shared" si="18"/>
        <v>0.16287316605963348</v>
      </c>
      <c r="W40" s="89">
        <f t="shared" si="18"/>
        <v>0.16287316605963348</v>
      </c>
      <c r="X40" s="91">
        <f t="shared" si="18"/>
        <v>0.16287316605963348</v>
      </c>
    </row>
    <row r="41" spans="2:24" s="7" customFormat="1" ht="16.5" customHeight="1" x14ac:dyDescent="0.25">
      <c r="B41" s="143" t="s">
        <v>12</v>
      </c>
      <c r="C41" s="24" t="s">
        <v>34</v>
      </c>
      <c r="D41" s="344">
        <f t="shared" ref="D41:O41" si="19">D42/D43</f>
        <v>0.19110152929424529</v>
      </c>
      <c r="E41" s="236">
        <f t="shared" si="19"/>
        <v>0.19110155989657623</v>
      </c>
      <c r="F41" s="236">
        <f t="shared" si="19"/>
        <v>0.19110163130367494</v>
      </c>
      <c r="G41" s="236">
        <f t="shared" si="19"/>
        <v>0.19110168393917298</v>
      </c>
      <c r="H41" s="236">
        <f t="shared" si="19"/>
        <v>0.19110163418474943</v>
      </c>
      <c r="I41" s="236">
        <f t="shared" si="19"/>
        <v>0.19110178948018219</v>
      </c>
      <c r="J41" s="236">
        <f t="shared" si="19"/>
        <v>0.19110178935080038</v>
      </c>
      <c r="K41" s="236">
        <f t="shared" si="19"/>
        <v>0.19110183410957754</v>
      </c>
      <c r="L41" s="236">
        <f t="shared" si="19"/>
        <v>0.19110184694710744</v>
      </c>
      <c r="M41" s="236">
        <f t="shared" si="19"/>
        <v>0.19098260663582195</v>
      </c>
      <c r="N41" s="151">
        <f t="shared" si="19"/>
        <v>0.18816166573456164</v>
      </c>
      <c r="O41" s="332">
        <f t="shared" si="19"/>
        <v>0.18518625998079763</v>
      </c>
      <c r="P41" s="344">
        <f>M41</f>
        <v>0.19098260663582195</v>
      </c>
      <c r="Q41" s="236">
        <f t="shared" ref="Q41:X41" si="20">P41</f>
        <v>0.19098260663582195</v>
      </c>
      <c r="R41" s="236">
        <f t="shared" si="20"/>
        <v>0.19098260663582195</v>
      </c>
      <c r="S41" s="236">
        <f t="shared" si="20"/>
        <v>0.19098260663582195</v>
      </c>
      <c r="T41" s="151">
        <f t="shared" si="20"/>
        <v>0.19098260663582195</v>
      </c>
      <c r="U41" s="236">
        <f t="shared" si="20"/>
        <v>0.19098260663582195</v>
      </c>
      <c r="V41" s="236">
        <f t="shared" si="20"/>
        <v>0.19098260663582195</v>
      </c>
      <c r="W41" s="236">
        <f t="shared" si="20"/>
        <v>0.19098260663582195</v>
      </c>
      <c r="X41" s="151">
        <f t="shared" si="20"/>
        <v>0.19098260663582195</v>
      </c>
    </row>
    <row r="42" spans="2:24" s="7" customFormat="1" ht="16.5" customHeight="1" x14ac:dyDescent="0.25">
      <c r="B42" s="143" t="s">
        <v>35</v>
      </c>
      <c r="C42" s="24" t="s">
        <v>36</v>
      </c>
      <c r="D42" s="355">
        <f>[5]Summary!D26</f>
        <v>22.536751010000003</v>
      </c>
      <c r="E42" s="245">
        <f>[5]Summary!E26</f>
        <v>24.259973619999993</v>
      </c>
      <c r="F42" s="245">
        <f>[5]Summary!F26</f>
        <v>24.850541139999997</v>
      </c>
      <c r="G42" s="245">
        <f>[5]Summary!G26</f>
        <v>23.947659620000003</v>
      </c>
      <c r="H42" s="245">
        <f>[5]Summary!H26</f>
        <v>24.014774399999997</v>
      </c>
      <c r="I42" s="245">
        <f>[5]Summary!I26</f>
        <v>26.693665890000002</v>
      </c>
      <c r="J42" s="245">
        <f>[5]Summary!J26</f>
        <v>26.202406859999996</v>
      </c>
      <c r="K42" s="245">
        <f>[5]Summary!K26</f>
        <v>26.938335209999998</v>
      </c>
      <c r="L42" s="245">
        <f>[5]Summary!L26</f>
        <v>28.941688160000005</v>
      </c>
      <c r="M42" s="245">
        <f>[5]Summary!M26</f>
        <v>29.043592860000004</v>
      </c>
      <c r="N42" s="247">
        <f>[5]Summary!N26</f>
        <v>28.033347679999999</v>
      </c>
      <c r="O42" s="374">
        <f>[7]Summary!$P$15</f>
        <v>26.025707269999998</v>
      </c>
      <c r="P42" s="383">
        <f t="shared" ref="P42:X42" si="21">P43*P41</f>
        <v>29.742163998536977</v>
      </c>
      <c r="Q42" s="41">
        <f t="shared" si="21"/>
        <v>29.21302082249046</v>
      </c>
      <c r="R42" s="41">
        <f t="shared" si="21"/>
        <v>29.679267784207074</v>
      </c>
      <c r="S42" s="41">
        <f t="shared" si="21"/>
        <v>30.145514745923688</v>
      </c>
      <c r="T42" s="34">
        <f t="shared" si="21"/>
        <v>30.611761707640294</v>
      </c>
      <c r="U42" s="41">
        <f t="shared" si="21"/>
        <v>31.078008669356908</v>
      </c>
      <c r="V42" s="41">
        <f t="shared" si="21"/>
        <v>31.544255631073518</v>
      </c>
      <c r="W42" s="41">
        <f t="shared" si="21"/>
        <v>32.010502592790132</v>
      </c>
      <c r="X42" s="34">
        <f t="shared" si="21"/>
        <v>32.476749554506746</v>
      </c>
    </row>
    <row r="43" spans="2:24" s="7" customFormat="1" ht="16.5" customHeight="1" x14ac:dyDescent="0.25">
      <c r="B43" s="105" t="s">
        <v>116</v>
      </c>
      <c r="C43" s="189" t="s">
        <v>36</v>
      </c>
      <c r="D43" s="356">
        <f>[7]Summary!E16</f>
        <v>117.93077268</v>
      </c>
      <c r="E43" s="246">
        <f>[7]Summary!F16</f>
        <v>126.94806695</v>
      </c>
      <c r="F43" s="246">
        <f>[7]Summary!G16</f>
        <v>130.03835169000001</v>
      </c>
      <c r="G43" s="246">
        <f>[7]Summary!H16</f>
        <v>125.31370276999999</v>
      </c>
      <c r="H43" s="246">
        <f>[7]Summary!I16</f>
        <v>125.66493480000004</v>
      </c>
      <c r="I43" s="246">
        <f>[7]Summary!J16</f>
        <v>139.68297189999998</v>
      </c>
      <c r="J43" s="246">
        <f>[7]Summary!K16</f>
        <v>137.11230516999998</v>
      </c>
      <c r="K43" s="246">
        <f>[7]Summary!L16</f>
        <v>140.96324787</v>
      </c>
      <c r="L43" s="246">
        <f>[7]Summary!M16</f>
        <v>151.44640735999999</v>
      </c>
      <c r="M43" s="246">
        <f>[7]Summary!N16</f>
        <v>152.07454423000004</v>
      </c>
      <c r="N43" s="248">
        <f>[7]Summary!O16</f>
        <v>148.98543532000002</v>
      </c>
      <c r="O43" s="269">
        <f>[7]Summary!P16</f>
        <v>140.53800358999993</v>
      </c>
      <c r="P43" s="346">
        <f t="shared" ref="P43:X43" si="22">P39*P40</f>
        <v>155.73231784008095</v>
      </c>
      <c r="Q43" s="95">
        <f t="shared" si="22"/>
        <v>152.96168241224055</v>
      </c>
      <c r="R43" s="95">
        <f t="shared" si="22"/>
        <v>155.4029882983084</v>
      </c>
      <c r="S43" s="95">
        <f t="shared" si="22"/>
        <v>157.84429418437625</v>
      </c>
      <c r="T43" s="96">
        <f t="shared" si="22"/>
        <v>160.28560007044408</v>
      </c>
      <c r="U43" s="95">
        <f t="shared" si="22"/>
        <v>162.72690595651193</v>
      </c>
      <c r="V43" s="95">
        <f t="shared" si="22"/>
        <v>165.16821184257975</v>
      </c>
      <c r="W43" s="95">
        <f t="shared" si="22"/>
        <v>167.6095177286476</v>
      </c>
      <c r="X43" s="96">
        <f t="shared" si="22"/>
        <v>170.05082361471545</v>
      </c>
    </row>
    <row r="44" spans="2:24" s="7" customFormat="1" ht="16.5" customHeight="1" x14ac:dyDescent="0.25">
      <c r="B44" s="336" t="s">
        <v>94</v>
      </c>
      <c r="C44" s="24" t="s">
        <v>36</v>
      </c>
      <c r="D44" s="347"/>
      <c r="E44" s="40"/>
      <c r="F44" s="40"/>
      <c r="G44" s="40"/>
      <c r="H44" s="40"/>
      <c r="I44" s="40"/>
      <c r="J44" s="40"/>
      <c r="K44" s="40">
        <f>'Appendix C Industry details'!J110</f>
        <v>0.39</v>
      </c>
      <c r="L44" s="40">
        <f>'Appendix C Industry details'!K110</f>
        <v>9.9600000000000009</v>
      </c>
      <c r="M44" s="40">
        <f>'Appendix C Industry details'!L110</f>
        <v>45.49</v>
      </c>
      <c r="N44" s="25">
        <f>'Appendix C Industry details'!M110</f>
        <v>115.75</v>
      </c>
      <c r="O44" s="367">
        <f>AVERAGE(M44:N44)</f>
        <v>80.62</v>
      </c>
      <c r="P44" s="381">
        <f>AVERAGE(N44:O44)</f>
        <v>98.185000000000002</v>
      </c>
      <c r="Q44" s="100">
        <f>AVERAGE(N44:P44)</f>
        <v>98.185000000000002</v>
      </c>
      <c r="R44" s="100">
        <f t="shared" ref="R44:X44" si="23">AVERAGE(N44:Q44)</f>
        <v>98.185000000000002</v>
      </c>
      <c r="S44" s="100">
        <f t="shared" si="23"/>
        <v>93.793750000000003</v>
      </c>
      <c r="T44" s="101">
        <f t="shared" si="23"/>
        <v>97.087187499999999</v>
      </c>
      <c r="U44" s="100">
        <f t="shared" si="23"/>
        <v>96.812734374999991</v>
      </c>
      <c r="V44" s="100">
        <f t="shared" si="23"/>
        <v>96.469667968750002</v>
      </c>
      <c r="W44" s="100">
        <f t="shared" si="23"/>
        <v>96.040834960937502</v>
      </c>
      <c r="X44" s="101">
        <f t="shared" si="23"/>
        <v>96.602606201171866</v>
      </c>
    </row>
    <row r="45" spans="2:24" s="7" customFormat="1" ht="16.5" customHeight="1" x14ac:dyDescent="0.25">
      <c r="B45" s="143" t="s">
        <v>115</v>
      </c>
      <c r="C45" s="24" t="s">
        <v>34</v>
      </c>
      <c r="D45" s="347"/>
      <c r="E45" s="102"/>
      <c r="F45" s="102"/>
      <c r="G45" s="102"/>
      <c r="H45" s="102"/>
      <c r="I45" s="102"/>
      <c r="J45" s="102"/>
      <c r="K45" s="102">
        <v>0.19</v>
      </c>
      <c r="L45" s="102">
        <v>0.19</v>
      </c>
      <c r="M45" s="102">
        <v>0.19</v>
      </c>
      <c r="N45" s="103">
        <v>0.19</v>
      </c>
      <c r="O45" s="263">
        <v>0.19</v>
      </c>
      <c r="P45" s="382">
        <v>0.19</v>
      </c>
      <c r="Q45" s="102">
        <v>0.19</v>
      </c>
      <c r="R45" s="102">
        <v>0.19</v>
      </c>
      <c r="S45" s="102">
        <v>0.19</v>
      </c>
      <c r="T45" s="103">
        <v>0.19</v>
      </c>
      <c r="U45" s="102">
        <v>0.19</v>
      </c>
      <c r="V45" s="102">
        <v>0.19</v>
      </c>
      <c r="W45" s="102">
        <v>0.19</v>
      </c>
      <c r="X45" s="103">
        <v>0.19</v>
      </c>
    </row>
    <row r="46" spans="2:24" s="7" customFormat="1" ht="16.5" customHeight="1" x14ac:dyDescent="0.25">
      <c r="B46" s="143" t="s">
        <v>12</v>
      </c>
      <c r="C46" s="24" t="s">
        <v>34</v>
      </c>
      <c r="D46" s="347"/>
      <c r="E46" s="102"/>
      <c r="F46" s="102"/>
      <c r="G46" s="102"/>
      <c r="H46" s="102"/>
      <c r="I46" s="102"/>
      <c r="J46" s="102"/>
      <c r="K46" s="102">
        <v>0.1091</v>
      </c>
      <c r="L46" s="102">
        <v>0.1091</v>
      </c>
      <c r="M46" s="102">
        <v>0.1091</v>
      </c>
      <c r="N46" s="103">
        <v>0.1091</v>
      </c>
      <c r="O46" s="263">
        <f t="shared" ref="O46:X46" si="24">N46</f>
        <v>0.1091</v>
      </c>
      <c r="P46" s="382">
        <f t="shared" si="24"/>
        <v>0.1091</v>
      </c>
      <c r="Q46" s="102">
        <f t="shared" si="24"/>
        <v>0.1091</v>
      </c>
      <c r="R46" s="102">
        <f t="shared" si="24"/>
        <v>0.1091</v>
      </c>
      <c r="S46" s="102">
        <f t="shared" si="24"/>
        <v>0.1091</v>
      </c>
      <c r="T46" s="103">
        <f t="shared" si="24"/>
        <v>0.1091</v>
      </c>
      <c r="U46" s="102">
        <f t="shared" si="24"/>
        <v>0.1091</v>
      </c>
      <c r="V46" s="102">
        <f t="shared" si="24"/>
        <v>0.1091</v>
      </c>
      <c r="W46" s="102">
        <f t="shared" si="24"/>
        <v>0.1091</v>
      </c>
      <c r="X46" s="103">
        <f t="shared" si="24"/>
        <v>0.1091</v>
      </c>
    </row>
    <row r="47" spans="2:24" s="7" customFormat="1" ht="16.5" customHeight="1" x14ac:dyDescent="0.25">
      <c r="B47" s="143" t="s">
        <v>35</v>
      </c>
      <c r="C47" s="24" t="s">
        <v>36</v>
      </c>
      <c r="D47" s="347"/>
      <c r="E47" s="41"/>
      <c r="F47" s="41"/>
      <c r="G47" s="41"/>
      <c r="H47" s="41"/>
      <c r="I47" s="41"/>
      <c r="J47" s="41"/>
      <c r="K47" s="41">
        <f t="shared" ref="K47:X47" si="25">K48*K46</f>
        <v>8.0843100000000008E-3</v>
      </c>
      <c r="L47" s="41">
        <f t="shared" si="25"/>
        <v>0.20646084000000001</v>
      </c>
      <c r="M47" s="41">
        <f t="shared" si="25"/>
        <v>0.94296221000000002</v>
      </c>
      <c r="N47" s="34">
        <f t="shared" si="25"/>
        <v>2.3993817499999999</v>
      </c>
      <c r="O47" s="264">
        <f t="shared" si="25"/>
        <v>1.6711719800000002</v>
      </c>
      <c r="P47" s="383">
        <f t="shared" si="25"/>
        <v>2.0352768650000002</v>
      </c>
      <c r="Q47" s="41">
        <f t="shared" si="25"/>
        <v>2.0352768650000002</v>
      </c>
      <c r="R47" s="41">
        <f t="shared" si="25"/>
        <v>2.0352768650000002</v>
      </c>
      <c r="S47" s="41">
        <f t="shared" si="25"/>
        <v>1.9442506437500002</v>
      </c>
      <c r="T47" s="34">
        <f t="shared" si="25"/>
        <v>2.0125203096875004</v>
      </c>
      <c r="U47" s="41">
        <f t="shared" si="25"/>
        <v>2.0068311708593747</v>
      </c>
      <c r="V47" s="41">
        <f t="shared" si="25"/>
        <v>1.999719747324219</v>
      </c>
      <c r="W47" s="41">
        <f t="shared" si="25"/>
        <v>1.9908304679052737</v>
      </c>
      <c r="X47" s="34">
        <f t="shared" si="25"/>
        <v>2.0024754239440918</v>
      </c>
    </row>
    <row r="48" spans="2:24" s="7" customFormat="1" ht="16.5" customHeight="1" x14ac:dyDescent="0.25">
      <c r="B48" s="105" t="s">
        <v>116</v>
      </c>
      <c r="C48" s="189" t="s">
        <v>36</v>
      </c>
      <c r="D48" s="348"/>
      <c r="E48" s="95"/>
      <c r="F48" s="95"/>
      <c r="G48" s="95"/>
      <c r="H48" s="95"/>
      <c r="I48" s="95"/>
      <c r="J48" s="95"/>
      <c r="K48" s="95">
        <f t="shared" ref="K48:X48" si="26">K44*K45</f>
        <v>7.4099999999999999E-2</v>
      </c>
      <c r="L48" s="95">
        <f t="shared" si="26"/>
        <v>1.8924000000000001</v>
      </c>
      <c r="M48" s="95">
        <f t="shared" si="26"/>
        <v>8.6431000000000004</v>
      </c>
      <c r="N48" s="96">
        <f t="shared" si="26"/>
        <v>21.9925</v>
      </c>
      <c r="O48" s="368">
        <f t="shared" si="26"/>
        <v>15.317800000000002</v>
      </c>
      <c r="P48" s="346">
        <f t="shared" si="26"/>
        <v>18.655149999999999</v>
      </c>
      <c r="Q48" s="95">
        <f t="shared" si="26"/>
        <v>18.655149999999999</v>
      </c>
      <c r="R48" s="95">
        <f t="shared" si="26"/>
        <v>18.655149999999999</v>
      </c>
      <c r="S48" s="95">
        <f t="shared" si="26"/>
        <v>17.820812500000002</v>
      </c>
      <c r="T48" s="96">
        <f t="shared" si="26"/>
        <v>18.446565625000002</v>
      </c>
      <c r="U48" s="95">
        <f t="shared" si="26"/>
        <v>18.394419531249998</v>
      </c>
      <c r="V48" s="95">
        <f t="shared" si="26"/>
        <v>18.329236914062502</v>
      </c>
      <c r="W48" s="95">
        <f t="shared" si="26"/>
        <v>18.247758642578127</v>
      </c>
      <c r="X48" s="96">
        <f t="shared" si="26"/>
        <v>18.354495178222656</v>
      </c>
    </row>
    <row r="49" spans="2:26" s="7" customFormat="1" ht="16.5" hidden="1" customHeight="1" x14ac:dyDescent="0.25">
      <c r="B49" s="336" t="s">
        <v>135</v>
      </c>
      <c r="C49" s="24" t="s">
        <v>36</v>
      </c>
      <c r="D49" s="347"/>
      <c r="E49" s="41"/>
      <c r="F49" s="41"/>
      <c r="G49" s="41"/>
      <c r="H49" s="41"/>
      <c r="I49" s="41"/>
      <c r="J49" s="41"/>
      <c r="K49" s="41"/>
      <c r="L49" s="41"/>
      <c r="M49" s="41"/>
      <c r="N49" s="177">
        <f>'[6]MAIN SHEET'!$B$35</f>
        <v>17.96325886</v>
      </c>
      <c r="O49" s="264"/>
      <c r="P49" s="383"/>
      <c r="Q49" s="41"/>
      <c r="R49" s="41"/>
      <c r="S49" s="41"/>
      <c r="T49" s="34"/>
      <c r="U49" s="41"/>
      <c r="V49" s="41"/>
      <c r="W49" s="41"/>
      <c r="X49" s="34"/>
    </row>
    <row r="50" spans="2:26" s="7" customFormat="1" ht="16.5" hidden="1" customHeight="1" x14ac:dyDescent="0.25">
      <c r="B50" s="143"/>
      <c r="C50" s="24"/>
      <c r="D50" s="347"/>
      <c r="E50" s="41"/>
      <c r="F50" s="41"/>
      <c r="G50" s="41"/>
      <c r="H50" s="41"/>
      <c r="I50" s="41"/>
      <c r="J50" s="41"/>
      <c r="K50" s="41"/>
      <c r="L50" s="41"/>
      <c r="M50" s="41"/>
      <c r="N50" s="177">
        <f>N49/N42*N43</f>
        <v>95.467154746284208</v>
      </c>
      <c r="O50" s="264"/>
      <c r="P50" s="383"/>
      <c r="Q50" s="41"/>
      <c r="R50" s="41"/>
      <c r="S50" s="41"/>
      <c r="T50" s="34"/>
      <c r="U50" s="41"/>
      <c r="V50" s="41"/>
      <c r="W50" s="41"/>
      <c r="X50" s="34"/>
    </row>
    <row r="51" spans="2:26" s="7" customFormat="1" ht="16.5" customHeight="1" x14ac:dyDescent="0.25">
      <c r="B51" s="149" t="s">
        <v>139</v>
      </c>
      <c r="C51" s="24" t="s">
        <v>34</v>
      </c>
      <c r="D51" s="347"/>
      <c r="E51" s="41"/>
      <c r="F51" s="41"/>
      <c r="G51" s="41"/>
      <c r="H51" s="41"/>
      <c r="I51" s="41"/>
      <c r="J51" s="41"/>
      <c r="K51" s="41"/>
      <c r="L51" s="41"/>
      <c r="M51" s="41"/>
      <c r="N51" s="176">
        <f>N52/(N44+N39)</f>
        <v>0.16801542902614203</v>
      </c>
      <c r="O51" s="264"/>
      <c r="P51" s="383"/>
      <c r="Q51" s="41"/>
      <c r="R51" s="41"/>
      <c r="S51" s="41"/>
      <c r="T51" s="34"/>
      <c r="U51" s="41"/>
      <c r="V51" s="41"/>
      <c r="W51" s="41"/>
      <c r="X51" s="34"/>
    </row>
    <row r="52" spans="2:26" s="7" customFormat="1" ht="16.5" customHeight="1" x14ac:dyDescent="0.25">
      <c r="B52" s="149" t="s">
        <v>118</v>
      </c>
      <c r="C52" s="24" t="s">
        <v>36</v>
      </c>
      <c r="D52" s="347"/>
      <c r="E52" s="40"/>
      <c r="F52" s="40"/>
      <c r="G52" s="40"/>
      <c r="H52" s="40"/>
      <c r="I52" s="40"/>
      <c r="J52" s="40"/>
      <c r="K52" s="40">
        <f t="shared" ref="K52:X52" si="27">K48+K43</f>
        <v>141.03734786999999</v>
      </c>
      <c r="L52" s="40">
        <f t="shared" si="27"/>
        <v>153.33880736</v>
      </c>
      <c r="M52" s="40">
        <f t="shared" si="27"/>
        <v>160.71764423000005</v>
      </c>
      <c r="N52" s="30">
        <f t="shared" si="27"/>
        <v>170.97793532000003</v>
      </c>
      <c r="O52" s="262">
        <f t="shared" si="27"/>
        <v>155.85580358999994</v>
      </c>
      <c r="P52" s="347">
        <f t="shared" si="27"/>
        <v>174.38746784008094</v>
      </c>
      <c r="Q52" s="40">
        <f t="shared" si="27"/>
        <v>171.61683241224054</v>
      </c>
      <c r="R52" s="40">
        <f t="shared" si="27"/>
        <v>174.05813829830839</v>
      </c>
      <c r="S52" s="40">
        <f t="shared" si="27"/>
        <v>175.66510668437627</v>
      </c>
      <c r="T52" s="25">
        <f t="shared" si="27"/>
        <v>178.73216569544408</v>
      </c>
      <c r="U52" s="40">
        <f t="shared" si="27"/>
        <v>181.12132548776194</v>
      </c>
      <c r="V52" s="40">
        <f t="shared" si="27"/>
        <v>183.49744875664226</v>
      </c>
      <c r="W52" s="40">
        <f t="shared" si="27"/>
        <v>185.85727637122574</v>
      </c>
      <c r="X52" s="25">
        <f t="shared" si="27"/>
        <v>188.40531879293812</v>
      </c>
    </row>
    <row r="53" spans="2:26" s="7" customFormat="1" ht="16.5" customHeight="1" x14ac:dyDescent="0.25">
      <c r="B53" s="149" t="s">
        <v>119</v>
      </c>
      <c r="C53" s="24" t="s">
        <v>36</v>
      </c>
      <c r="D53" s="347"/>
      <c r="E53" s="40"/>
      <c r="F53" s="40"/>
      <c r="G53" s="40"/>
      <c r="H53" s="40"/>
      <c r="I53" s="40"/>
      <c r="J53" s="40"/>
      <c r="K53" s="40">
        <f t="shared" ref="K53:X53" si="28">K42+K47</f>
        <v>26.946419519999999</v>
      </c>
      <c r="L53" s="40">
        <f t="shared" si="28"/>
        <v>29.148149000000004</v>
      </c>
      <c r="M53" s="40">
        <f t="shared" si="28"/>
        <v>29.986555070000005</v>
      </c>
      <c r="N53" s="202">
        <f t="shared" si="28"/>
        <v>30.432729429999998</v>
      </c>
      <c r="O53" s="262">
        <f t="shared" si="28"/>
        <v>27.696879249999999</v>
      </c>
      <c r="P53" s="347">
        <f t="shared" si="28"/>
        <v>31.777440863536977</v>
      </c>
      <c r="Q53" s="40">
        <f t="shared" si="28"/>
        <v>31.24829768749046</v>
      </c>
      <c r="R53" s="40">
        <f t="shared" si="28"/>
        <v>31.714544649207074</v>
      </c>
      <c r="S53" s="40">
        <f t="shared" si="28"/>
        <v>32.089765389673687</v>
      </c>
      <c r="T53" s="25">
        <f t="shared" si="28"/>
        <v>32.624282017327793</v>
      </c>
      <c r="U53" s="40">
        <f t="shared" si="28"/>
        <v>33.084839840216283</v>
      </c>
      <c r="V53" s="40">
        <f t="shared" si="28"/>
        <v>33.543975378397739</v>
      </c>
      <c r="W53" s="40">
        <f t="shared" si="28"/>
        <v>34.001333060695409</v>
      </c>
      <c r="X53" s="25">
        <f t="shared" si="28"/>
        <v>34.479224978450837</v>
      </c>
      <c r="Z53" s="42"/>
    </row>
    <row r="54" spans="2:26" s="7" customFormat="1" ht="16.5" customHeight="1" x14ac:dyDescent="0.25">
      <c r="B54" s="106" t="s">
        <v>117</v>
      </c>
      <c r="C54" s="189" t="s">
        <v>34</v>
      </c>
      <c r="D54" s="348"/>
      <c r="E54" s="107"/>
      <c r="F54" s="107"/>
      <c r="G54" s="107"/>
      <c r="H54" s="107"/>
      <c r="I54" s="107"/>
      <c r="J54" s="107"/>
      <c r="K54" s="107">
        <f t="shared" ref="K54:X54" si="29">K53/K52</f>
        <v>0.19105875094047883</v>
      </c>
      <c r="L54" s="107">
        <f t="shared" si="29"/>
        <v>0.19008983767277948</v>
      </c>
      <c r="M54" s="107">
        <f t="shared" si="29"/>
        <v>0.18657911030034013</v>
      </c>
      <c r="N54" s="178">
        <f t="shared" si="29"/>
        <v>0.17799214485215598</v>
      </c>
      <c r="O54" s="270">
        <f t="shared" si="29"/>
        <v>0.17770835998420975</v>
      </c>
      <c r="P54" s="385">
        <f t="shared" si="29"/>
        <v>0.18222319101896667</v>
      </c>
      <c r="Q54" s="107">
        <f t="shared" si="29"/>
        <v>0.18208177629353378</v>
      </c>
      <c r="R54" s="107">
        <f t="shared" si="29"/>
        <v>0.18220661762366613</v>
      </c>
      <c r="S54" s="107">
        <f t="shared" si="29"/>
        <v>0.18267580850493267</v>
      </c>
      <c r="T54" s="108">
        <f t="shared" si="29"/>
        <v>0.18253167744254215</v>
      </c>
      <c r="U54" s="107">
        <f t="shared" si="29"/>
        <v>0.18266672768167086</v>
      </c>
      <c r="V54" s="107">
        <f t="shared" si="29"/>
        <v>0.18280349730030518</v>
      </c>
      <c r="W54" s="107">
        <f t="shared" si="29"/>
        <v>0.18294324400182305</v>
      </c>
      <c r="X54" s="108">
        <f t="shared" si="29"/>
        <v>0.18300558179222273</v>
      </c>
    </row>
    <row r="55" spans="2:26" s="7" customFormat="1" ht="16.5" customHeight="1" x14ac:dyDescent="0.25">
      <c r="B55" s="31" t="s">
        <v>146</v>
      </c>
      <c r="C55" s="254" t="s">
        <v>36</v>
      </c>
      <c r="D55" s="349"/>
      <c r="E55" s="169"/>
      <c r="F55" s="169"/>
      <c r="G55" s="169"/>
      <c r="H55" s="169"/>
      <c r="I55" s="169"/>
      <c r="J55" s="169"/>
      <c r="K55" s="169">
        <f>'Appendix C Industry details'!J116</f>
        <v>87.28</v>
      </c>
      <c r="L55" s="169">
        <f>'Appendix C Industry details'!K116</f>
        <v>186.95</v>
      </c>
      <c r="M55" s="169">
        <f>'Appendix C Industry details'!L116</f>
        <v>264.89</v>
      </c>
      <c r="N55" s="169">
        <f>'Appendix C Industry details'!M116</f>
        <v>11.83</v>
      </c>
      <c r="O55" s="267">
        <f t="shared" ref="O55:X55" si="30">AVERAGE(K55:N55)</f>
        <v>137.73750000000001</v>
      </c>
      <c r="P55" s="348">
        <f t="shared" si="30"/>
        <v>150.35187500000001</v>
      </c>
      <c r="Q55" s="37">
        <f t="shared" si="30"/>
        <v>141.20234375000001</v>
      </c>
      <c r="R55" s="37">
        <f t="shared" si="30"/>
        <v>110.28042968750002</v>
      </c>
      <c r="S55" s="37">
        <f t="shared" si="30"/>
        <v>134.893037109375</v>
      </c>
      <c r="T55" s="38">
        <f t="shared" si="30"/>
        <v>134.18192138671876</v>
      </c>
      <c r="U55" s="37">
        <f t="shared" si="30"/>
        <v>130.13943298339845</v>
      </c>
      <c r="V55" s="37">
        <f t="shared" si="30"/>
        <v>127.37370529174805</v>
      </c>
      <c r="W55" s="37">
        <f t="shared" si="30"/>
        <v>131.64702419281005</v>
      </c>
      <c r="X55" s="38">
        <f t="shared" si="30"/>
        <v>130.83552096366881</v>
      </c>
    </row>
    <row r="56" spans="2:26" s="7" customFormat="1" ht="16.5" customHeight="1" x14ac:dyDescent="0.25">
      <c r="B56" s="170" t="s">
        <v>152</v>
      </c>
      <c r="C56" s="254" t="s">
        <v>36</v>
      </c>
      <c r="D56" s="171">
        <f t="shared" ref="D56:X56" si="31">D38+D55</f>
        <v>721.02420744000005</v>
      </c>
      <c r="E56" s="171">
        <f t="shared" si="31"/>
        <v>774.34614436999993</v>
      </c>
      <c r="F56" s="171">
        <f t="shared" si="31"/>
        <v>795.32723435000003</v>
      </c>
      <c r="G56" s="171">
        <f t="shared" si="31"/>
        <v>764.03421566999987</v>
      </c>
      <c r="H56" s="171">
        <f t="shared" si="31"/>
        <v>760.30826352999998</v>
      </c>
      <c r="I56" s="171">
        <f t="shared" si="31"/>
        <v>850.82443351000006</v>
      </c>
      <c r="J56" s="171">
        <f t="shared" si="31"/>
        <v>827.71288276999996</v>
      </c>
      <c r="K56" s="171">
        <f t="shared" si="31"/>
        <v>940.25037091000002</v>
      </c>
      <c r="L56" s="171">
        <f t="shared" si="31"/>
        <v>1115.7643360200002</v>
      </c>
      <c r="M56" s="174">
        <f t="shared" si="31"/>
        <v>1231.36676074</v>
      </c>
      <c r="N56" s="179">
        <f t="shared" si="31"/>
        <v>1029.4623466899998</v>
      </c>
      <c r="O56" s="370">
        <f t="shared" si="31"/>
        <v>1051.3500169900001</v>
      </c>
      <c r="P56" s="350">
        <f t="shared" si="31"/>
        <v>1204.6938749999999</v>
      </c>
      <c r="Q56" s="171">
        <f t="shared" si="31"/>
        <v>1178.5333437499999</v>
      </c>
      <c r="R56" s="171">
        <f t="shared" si="31"/>
        <v>1162.6004296874999</v>
      </c>
      <c r="S56" s="171">
        <f t="shared" si="31"/>
        <v>1197.810787109375</v>
      </c>
      <c r="T56" s="190">
        <f t="shared" si="31"/>
        <v>1215.3821088867187</v>
      </c>
      <c r="U56" s="171">
        <f t="shared" si="31"/>
        <v>1226.0541673583984</v>
      </c>
      <c r="V56" s="171">
        <f t="shared" si="31"/>
        <v>1237.934373260498</v>
      </c>
      <c r="W56" s="171">
        <f t="shared" si="31"/>
        <v>1256.7678591537474</v>
      </c>
      <c r="X56" s="190">
        <f t="shared" si="31"/>
        <v>1271.5071271648408</v>
      </c>
    </row>
    <row r="57" spans="2:26" x14ac:dyDescent="0.25">
      <c r="B57" s="7"/>
      <c r="C57" s="8"/>
      <c r="D57" s="6"/>
      <c r="E57" s="201"/>
      <c r="F57" s="201"/>
      <c r="G57" s="201"/>
      <c r="H57" s="201"/>
      <c r="I57" s="201"/>
      <c r="J57" s="7"/>
      <c r="K57" s="7"/>
      <c r="L57" s="7"/>
      <c r="M57" s="201"/>
      <c r="N57" s="249">
        <f>N53*18%</f>
        <v>5.4778912973999994</v>
      </c>
      <c r="O57" s="234"/>
      <c r="P57" s="6"/>
      <c r="Q57" s="7"/>
      <c r="R57" s="7"/>
      <c r="S57" s="7"/>
      <c r="T57" s="8"/>
      <c r="U57" s="7"/>
      <c r="V57" s="7"/>
      <c r="W57" s="7"/>
      <c r="X57" s="8"/>
    </row>
    <row r="58" spans="2:26" x14ac:dyDescent="0.25">
      <c r="B58" s="7"/>
      <c r="C58" s="8"/>
      <c r="D58" s="6"/>
      <c r="E58" s="7"/>
      <c r="F58" s="7"/>
      <c r="G58" s="7"/>
      <c r="H58" s="7"/>
      <c r="I58" s="7"/>
      <c r="J58" s="7"/>
      <c r="K58" s="7"/>
      <c r="L58" s="7"/>
      <c r="N58" s="8"/>
      <c r="O58" s="234"/>
      <c r="P58" s="6"/>
      <c r="Q58" s="7"/>
      <c r="R58" s="7"/>
      <c r="S58" s="7"/>
      <c r="T58" s="8"/>
      <c r="U58" s="7"/>
      <c r="V58" s="7"/>
      <c r="W58" s="7"/>
      <c r="X58" s="8"/>
    </row>
    <row r="59" spans="2:26" s="7" customFormat="1" ht="16.5" customHeight="1" x14ac:dyDescent="0.25">
      <c r="B59" s="394" t="s">
        <v>232</v>
      </c>
      <c r="C59" s="24"/>
      <c r="D59" s="294">
        <v>1</v>
      </c>
      <c r="E59" s="244">
        <v>2</v>
      </c>
      <c r="F59" s="244">
        <v>3</v>
      </c>
      <c r="G59" s="244">
        <v>4</v>
      </c>
      <c r="H59" s="244">
        <v>5</v>
      </c>
      <c r="I59" s="244">
        <v>6</v>
      </c>
      <c r="J59" s="244">
        <v>7</v>
      </c>
      <c r="K59" s="244">
        <v>8</v>
      </c>
      <c r="L59" s="244">
        <v>9</v>
      </c>
      <c r="M59" s="244">
        <v>10</v>
      </c>
      <c r="N59" s="251">
        <v>11</v>
      </c>
      <c r="O59" s="373">
        <v>12</v>
      </c>
      <c r="P59" s="294">
        <v>13</v>
      </c>
      <c r="Q59" s="244">
        <v>14</v>
      </c>
      <c r="R59" s="244">
        <v>15</v>
      </c>
      <c r="S59" s="244">
        <v>16</v>
      </c>
      <c r="T59" s="251">
        <v>17</v>
      </c>
      <c r="U59" s="244">
        <v>18</v>
      </c>
      <c r="V59" s="244">
        <v>19</v>
      </c>
      <c r="W59" s="244">
        <v>20</v>
      </c>
      <c r="X59" s="251">
        <v>21</v>
      </c>
    </row>
    <row r="60" spans="2:26" ht="16.5" customHeight="1" x14ac:dyDescent="0.25">
      <c r="B60" s="31" t="s">
        <v>120</v>
      </c>
      <c r="C60" s="309"/>
      <c r="D60" s="340" t="s">
        <v>13</v>
      </c>
      <c r="E60" s="281" t="s">
        <v>14</v>
      </c>
      <c r="F60" s="281" t="s">
        <v>15</v>
      </c>
      <c r="G60" s="281" t="s">
        <v>16</v>
      </c>
      <c r="H60" s="281" t="s">
        <v>17</v>
      </c>
      <c r="I60" s="281" t="s">
        <v>18</v>
      </c>
      <c r="J60" s="281" t="s">
        <v>19</v>
      </c>
      <c r="K60" s="281" t="s">
        <v>20</v>
      </c>
      <c r="L60" s="282" t="s">
        <v>21</v>
      </c>
      <c r="M60" s="282" t="s">
        <v>11</v>
      </c>
      <c r="N60" s="284" t="s">
        <v>8</v>
      </c>
      <c r="O60" s="365" t="s">
        <v>22</v>
      </c>
      <c r="P60" s="359" t="s">
        <v>23</v>
      </c>
      <c r="Q60" s="282" t="s">
        <v>24</v>
      </c>
      <c r="R60" s="282" t="s">
        <v>25</v>
      </c>
      <c r="S60" s="282" t="s">
        <v>26</v>
      </c>
      <c r="T60" s="283" t="s">
        <v>27</v>
      </c>
      <c r="U60" s="282" t="s">
        <v>28</v>
      </c>
      <c r="V60" s="282" t="s">
        <v>29</v>
      </c>
      <c r="W60" s="282" t="s">
        <v>30</v>
      </c>
      <c r="X60" s="283" t="s">
        <v>31</v>
      </c>
    </row>
    <row r="61" spans="2:26" ht="16.5" customHeight="1" x14ac:dyDescent="0.25">
      <c r="B61" s="31" t="s">
        <v>95</v>
      </c>
      <c r="C61" s="309"/>
      <c r="D61" s="341">
        <f>D62</f>
        <v>595.51759542000002</v>
      </c>
      <c r="E61" s="157">
        <f t="shared" ref="E61:X61" si="32">E62+E67</f>
        <v>630.2595080100001</v>
      </c>
      <c r="F61" s="157">
        <f t="shared" si="32"/>
        <v>632.18352123</v>
      </c>
      <c r="G61" s="157">
        <f t="shared" si="32"/>
        <v>606.08973693000007</v>
      </c>
      <c r="H61" s="157">
        <f t="shared" si="32"/>
        <v>608.26169660000005</v>
      </c>
      <c r="I61" s="157">
        <f t="shared" si="32"/>
        <v>535.43200487000001</v>
      </c>
      <c r="J61" s="157">
        <f t="shared" si="32"/>
        <v>612.56939210000007</v>
      </c>
      <c r="K61" s="157">
        <f t="shared" si="32"/>
        <v>625.92975922000005</v>
      </c>
      <c r="L61" s="157">
        <f t="shared" si="32"/>
        <v>594.40430171000003</v>
      </c>
      <c r="M61" s="173">
        <f t="shared" si="32"/>
        <v>580.33196277000002</v>
      </c>
      <c r="N61" s="175">
        <f t="shared" si="32"/>
        <v>613.98485606999998</v>
      </c>
      <c r="O61" s="366">
        <f t="shared" si="32"/>
        <v>648.31200000000001</v>
      </c>
      <c r="P61" s="341">
        <f t="shared" si="32"/>
        <v>660.298</v>
      </c>
      <c r="Q61" s="157">
        <f t="shared" si="32"/>
        <v>652.28399999999999</v>
      </c>
      <c r="R61" s="157">
        <f t="shared" si="32"/>
        <v>644.27</v>
      </c>
      <c r="S61" s="157">
        <f t="shared" si="32"/>
        <v>636.25600000000009</v>
      </c>
      <c r="T61" s="185">
        <f t="shared" si="32"/>
        <v>628.24199999999996</v>
      </c>
      <c r="U61" s="157">
        <f t="shared" si="32"/>
        <v>620.22800000000007</v>
      </c>
      <c r="V61" s="157">
        <f t="shared" si="32"/>
        <v>612.21400000000006</v>
      </c>
      <c r="W61" s="157">
        <f t="shared" si="32"/>
        <v>604.20000000000005</v>
      </c>
      <c r="X61" s="185">
        <f t="shared" si="32"/>
        <v>596.18600000000004</v>
      </c>
    </row>
    <row r="62" spans="2:26" s="7" customFormat="1" ht="16.5" customHeight="1" x14ac:dyDescent="0.25">
      <c r="B62" s="336" t="s">
        <v>93</v>
      </c>
      <c r="C62" s="24" t="s">
        <v>36</v>
      </c>
      <c r="D62" s="342">
        <f>[5]Summary!D29+[5]Summary!D30</f>
        <v>595.51759542000002</v>
      </c>
      <c r="E62" s="184">
        <f>[5]Summary!E29+[5]Summary!E30</f>
        <v>630.2595080100001</v>
      </c>
      <c r="F62" s="184">
        <f>[5]Summary!F29+[5]Summary!F30</f>
        <v>632.18352123</v>
      </c>
      <c r="G62" s="184">
        <f>[5]Summary!G29+[5]Summary!G30</f>
        <v>606.08973693000007</v>
      </c>
      <c r="H62" s="184">
        <f>[5]Summary!H29+[5]Summary!H30</f>
        <v>608.26169660000005</v>
      </c>
      <c r="I62" s="184">
        <f>[5]Summary!I29+[5]Summary!I30</f>
        <v>535.43200487000001</v>
      </c>
      <c r="J62" s="184">
        <f>[5]Summary!J29+[5]Summary!J30</f>
        <v>612.56939210000007</v>
      </c>
      <c r="K62" s="184">
        <f>[5]Summary!K29+[5]Summary!K30</f>
        <v>624.79975922000006</v>
      </c>
      <c r="L62" s="184">
        <f>[5]Summary!L29+[5]Summary!L30</f>
        <v>585.40430171000003</v>
      </c>
      <c r="M62" s="184">
        <f>[5]Summary!M29+[5]Summary!M30</f>
        <v>533.29196277000005</v>
      </c>
      <c r="N62" s="253">
        <f>[5]Summary!N29+[5]Summary!N30</f>
        <v>516.50485606999996</v>
      </c>
      <c r="O62" s="260">
        <f>647-(8.014*O59)</f>
        <v>550.83199999999999</v>
      </c>
      <c r="P62" s="342">
        <f t="shared" ref="P62:X62" si="33">667-(8.014*P59)</f>
        <v>562.81799999999998</v>
      </c>
      <c r="Q62" s="184">
        <f t="shared" si="33"/>
        <v>554.80399999999997</v>
      </c>
      <c r="R62" s="184">
        <f t="shared" si="33"/>
        <v>546.79</v>
      </c>
      <c r="S62" s="184">
        <f t="shared" si="33"/>
        <v>538.77600000000007</v>
      </c>
      <c r="T62" s="186">
        <f t="shared" si="33"/>
        <v>530.76199999999994</v>
      </c>
      <c r="U62" s="184">
        <f t="shared" si="33"/>
        <v>522.74800000000005</v>
      </c>
      <c r="V62" s="184">
        <f t="shared" si="33"/>
        <v>514.73400000000004</v>
      </c>
      <c r="W62" s="184">
        <f t="shared" si="33"/>
        <v>506.72</v>
      </c>
      <c r="X62" s="186">
        <f t="shared" si="33"/>
        <v>498.70600000000002</v>
      </c>
    </row>
    <row r="63" spans="2:26" s="7" customFormat="1" ht="16.5" customHeight="1" x14ac:dyDescent="0.25">
      <c r="B63" s="143" t="s">
        <v>115</v>
      </c>
      <c r="C63" s="24" t="s">
        <v>34</v>
      </c>
      <c r="D63" s="354">
        <v>0.16159999999999999</v>
      </c>
      <c r="E63" s="89">
        <v>0.16159999999999999</v>
      </c>
      <c r="F63" s="89">
        <v>0.16159999999999999</v>
      </c>
      <c r="G63" s="89">
        <v>0.16159999999999999</v>
      </c>
      <c r="H63" s="89">
        <v>0.16159999999999999</v>
      </c>
      <c r="I63" s="89">
        <v>0.16159999999999999</v>
      </c>
      <c r="J63" s="89">
        <v>0.16159999999999999</v>
      </c>
      <c r="K63" s="89">
        <v>0.16159999999999999</v>
      </c>
      <c r="L63" s="89">
        <v>0.16159999999999999</v>
      </c>
      <c r="M63" s="89">
        <v>0.16269390797755526</v>
      </c>
      <c r="N63" s="91">
        <v>0.15534336151300987</v>
      </c>
      <c r="O63" s="261">
        <v>0.16</v>
      </c>
      <c r="P63" s="354">
        <v>0.16</v>
      </c>
      <c r="Q63" s="89">
        <v>0.16</v>
      </c>
      <c r="R63" s="89">
        <v>0.16</v>
      </c>
      <c r="S63" s="89">
        <v>0.16</v>
      </c>
      <c r="T63" s="91">
        <v>0.16</v>
      </c>
      <c r="U63" s="89">
        <v>0.16</v>
      </c>
      <c r="V63" s="89">
        <v>0.16</v>
      </c>
      <c r="W63" s="89">
        <v>0.16</v>
      </c>
      <c r="X63" s="91">
        <v>0.16</v>
      </c>
    </row>
    <row r="64" spans="2:26" s="7" customFormat="1" ht="16.5" customHeight="1" x14ac:dyDescent="0.25">
      <c r="B64" s="143" t="s">
        <v>12</v>
      </c>
      <c r="C64" s="24" t="s">
        <v>34</v>
      </c>
      <c r="D64" s="344">
        <f t="shared" ref="D64:N64" si="34">D65/D66</f>
        <v>0.1903059877731148</v>
      </c>
      <c r="E64" s="236">
        <f t="shared" si="34"/>
        <v>0.19071909417503635</v>
      </c>
      <c r="F64" s="236">
        <f t="shared" si="34"/>
        <v>0.19025439953138074</v>
      </c>
      <c r="G64" s="236">
        <f t="shared" si="34"/>
        <v>0.19050056191803791</v>
      </c>
      <c r="H64" s="236">
        <f t="shared" si="34"/>
        <v>0.19142308387276394</v>
      </c>
      <c r="I64" s="236">
        <f t="shared" si="34"/>
        <v>0.19141819417412659</v>
      </c>
      <c r="J64" s="236">
        <f t="shared" si="34"/>
        <v>0.19163870497991245</v>
      </c>
      <c r="K64" s="236">
        <f t="shared" si="34"/>
        <v>0.19166653049524263</v>
      </c>
      <c r="L64" s="236">
        <f t="shared" si="34"/>
        <v>0.19176339075997684</v>
      </c>
      <c r="M64" s="236">
        <f t="shared" si="34"/>
        <v>0.19112178273432284</v>
      </c>
      <c r="N64" s="151">
        <f t="shared" si="34"/>
        <v>0.19120738561381376</v>
      </c>
      <c r="O64" s="332">
        <f t="shared" ref="O64:X64" si="35">N64</f>
        <v>0.19120738561381376</v>
      </c>
      <c r="P64" s="344">
        <f t="shared" si="35"/>
        <v>0.19120738561381376</v>
      </c>
      <c r="Q64" s="236">
        <f t="shared" si="35"/>
        <v>0.19120738561381376</v>
      </c>
      <c r="R64" s="236">
        <f t="shared" si="35"/>
        <v>0.19120738561381376</v>
      </c>
      <c r="S64" s="236">
        <f t="shared" si="35"/>
        <v>0.19120738561381376</v>
      </c>
      <c r="T64" s="151">
        <f t="shared" si="35"/>
        <v>0.19120738561381376</v>
      </c>
      <c r="U64" s="236">
        <f t="shared" si="35"/>
        <v>0.19120738561381376</v>
      </c>
      <c r="V64" s="236">
        <f t="shared" si="35"/>
        <v>0.19120738561381376</v>
      </c>
      <c r="W64" s="236">
        <f t="shared" si="35"/>
        <v>0.19120738561381376</v>
      </c>
      <c r="X64" s="151">
        <f t="shared" si="35"/>
        <v>0.19120738561381376</v>
      </c>
    </row>
    <row r="65" spans="2:26" s="7" customFormat="1" ht="16.5" customHeight="1" x14ac:dyDescent="0.25">
      <c r="B65" s="143" t="s">
        <v>35</v>
      </c>
      <c r="C65" s="24" t="s">
        <v>36</v>
      </c>
      <c r="D65" s="357">
        <f>[5]Summary!D31</f>
        <v>18.314219179999998</v>
      </c>
      <c r="E65" s="243">
        <f>[5]Summary!E31</f>
        <v>19.42472763</v>
      </c>
      <c r="F65" s="243">
        <f>[5]Summary!F31</f>
        <v>19.436552510000002</v>
      </c>
      <c r="G65" s="243">
        <f>[5]Summary!G31</f>
        <v>18.658406369999998</v>
      </c>
      <c r="H65" s="243">
        <f>[5]Summary!H31</f>
        <v>18.815949290000002</v>
      </c>
      <c r="I65" s="243">
        <f>[5]Summary!I31</f>
        <v>16.562614680000003</v>
      </c>
      <c r="J65" s="243">
        <f>[5]Summary!J31</f>
        <v>18.970548009999998</v>
      </c>
      <c r="K65" s="243">
        <f>[5]Summary!K31</f>
        <v>19.352117459999999</v>
      </c>
      <c r="L65" s="243">
        <f>[5]Summary!L31</f>
        <v>18.141072799999996</v>
      </c>
      <c r="M65" s="243">
        <f>[5]Summary!M31</f>
        <v>16.582366799999999</v>
      </c>
      <c r="N65" s="252">
        <f>[5]Summary!N31</f>
        <v>15.341639420000002</v>
      </c>
      <c r="O65" s="264">
        <f t="shared" ref="O65:X65" si="36">O66*O64</f>
        <v>16.851703461188521</v>
      </c>
      <c r="P65" s="383">
        <f t="shared" si="36"/>
        <v>17.218393337023269</v>
      </c>
      <c r="Q65" s="41">
        <f t="shared" si="36"/>
        <v>16.973219578893811</v>
      </c>
      <c r="R65" s="41">
        <f t="shared" si="36"/>
        <v>16.728045820764354</v>
      </c>
      <c r="S65" s="41">
        <f t="shared" si="36"/>
        <v>16.482872062634904</v>
      </c>
      <c r="T65" s="34">
        <f t="shared" si="36"/>
        <v>16.237698304505439</v>
      </c>
      <c r="U65" s="41">
        <f t="shared" si="36"/>
        <v>15.992524546375989</v>
      </c>
      <c r="V65" s="41">
        <f t="shared" si="36"/>
        <v>15.747350788246532</v>
      </c>
      <c r="W65" s="41">
        <f t="shared" si="36"/>
        <v>15.502177030117075</v>
      </c>
      <c r="X65" s="34">
        <f t="shared" si="36"/>
        <v>15.257003271987617</v>
      </c>
    </row>
    <row r="66" spans="2:26" s="7" customFormat="1" ht="16.5" customHeight="1" x14ac:dyDescent="0.25">
      <c r="B66" s="105" t="s">
        <v>116</v>
      </c>
      <c r="C66" s="189" t="s">
        <v>36</v>
      </c>
      <c r="D66" s="348">
        <f t="shared" ref="D66:N66" si="37">D63*D62</f>
        <v>96.235643419872005</v>
      </c>
      <c r="E66" s="37">
        <f t="shared" si="37"/>
        <v>101.84993649441601</v>
      </c>
      <c r="F66" s="37">
        <f t="shared" si="37"/>
        <v>102.160857030768</v>
      </c>
      <c r="G66" s="37">
        <f t="shared" si="37"/>
        <v>97.944101487888005</v>
      </c>
      <c r="H66" s="37">
        <f t="shared" si="37"/>
        <v>98.295090170560002</v>
      </c>
      <c r="I66" s="37">
        <f t="shared" si="37"/>
        <v>86.525811986991997</v>
      </c>
      <c r="J66" s="37">
        <f t="shared" si="37"/>
        <v>98.991213763360008</v>
      </c>
      <c r="K66" s="37">
        <f t="shared" si="37"/>
        <v>100.96764108995201</v>
      </c>
      <c r="L66" s="37">
        <f t="shared" si="37"/>
        <v>94.601335156336006</v>
      </c>
      <c r="M66" s="37">
        <f t="shared" si="37"/>
        <v>86.763353516072215</v>
      </c>
      <c r="N66" s="38">
        <f t="shared" si="37"/>
        <v>80.235600579707139</v>
      </c>
      <c r="O66" s="368">
        <f t="shared" ref="O66:X66" si="38">O62*O63</f>
        <v>88.133120000000005</v>
      </c>
      <c r="P66" s="346">
        <f t="shared" si="38"/>
        <v>90.050879999999992</v>
      </c>
      <c r="Q66" s="95">
        <f t="shared" si="38"/>
        <v>88.768639999999991</v>
      </c>
      <c r="R66" s="95">
        <f t="shared" si="38"/>
        <v>87.486399999999989</v>
      </c>
      <c r="S66" s="95">
        <f t="shared" si="38"/>
        <v>86.204160000000016</v>
      </c>
      <c r="T66" s="96">
        <f t="shared" si="38"/>
        <v>84.921919999999986</v>
      </c>
      <c r="U66" s="95">
        <f t="shared" si="38"/>
        <v>83.639680000000013</v>
      </c>
      <c r="V66" s="95">
        <f t="shared" si="38"/>
        <v>82.357440000000011</v>
      </c>
      <c r="W66" s="95">
        <f t="shared" si="38"/>
        <v>81.075200000000009</v>
      </c>
      <c r="X66" s="96">
        <f t="shared" si="38"/>
        <v>79.792960000000008</v>
      </c>
    </row>
    <row r="67" spans="2:26" s="7" customFormat="1" ht="16.5" customHeight="1" x14ac:dyDescent="0.25">
      <c r="B67" s="336" t="s">
        <v>94</v>
      </c>
      <c r="C67" s="24" t="s">
        <v>36</v>
      </c>
      <c r="D67" s="358"/>
      <c r="E67" s="40"/>
      <c r="F67" s="40"/>
      <c r="G67" s="40"/>
      <c r="H67" s="40"/>
      <c r="I67" s="40"/>
      <c r="J67" s="40"/>
      <c r="K67" s="40">
        <f>'Appendix C Industry details'!J128</f>
        <v>1.1299999999999999</v>
      </c>
      <c r="L67" s="40">
        <f>'Appendix C Industry details'!K128</f>
        <v>9</v>
      </c>
      <c r="M67" s="40">
        <f>'Appendix C Industry details'!L128</f>
        <v>47.04</v>
      </c>
      <c r="N67" s="25">
        <f>'Appendix C Industry details'!M128</f>
        <v>97.48</v>
      </c>
      <c r="O67" s="374">
        <f t="shared" ref="O67:X67" si="39">N67</f>
        <v>97.48</v>
      </c>
      <c r="P67" s="345">
        <f t="shared" si="39"/>
        <v>97.48</v>
      </c>
      <c r="Q67" s="187">
        <f t="shared" si="39"/>
        <v>97.48</v>
      </c>
      <c r="R67" s="187">
        <f t="shared" si="39"/>
        <v>97.48</v>
      </c>
      <c r="S67" s="187">
        <f t="shared" si="39"/>
        <v>97.48</v>
      </c>
      <c r="T67" s="188">
        <f t="shared" si="39"/>
        <v>97.48</v>
      </c>
      <c r="U67" s="187">
        <f t="shared" si="39"/>
        <v>97.48</v>
      </c>
      <c r="V67" s="187">
        <f t="shared" si="39"/>
        <v>97.48</v>
      </c>
      <c r="W67" s="187">
        <f t="shared" si="39"/>
        <v>97.48</v>
      </c>
      <c r="X67" s="188">
        <f t="shared" si="39"/>
        <v>97.48</v>
      </c>
    </row>
    <row r="68" spans="2:26" s="7" customFormat="1" ht="16.5" customHeight="1" x14ac:dyDescent="0.25">
      <c r="B68" s="143" t="s">
        <v>115</v>
      </c>
      <c r="C68" s="24" t="s">
        <v>34</v>
      </c>
      <c r="D68" s="347"/>
      <c r="E68" s="102"/>
      <c r="F68" s="102"/>
      <c r="G68" s="102"/>
      <c r="H68" s="102"/>
      <c r="I68" s="102"/>
      <c r="J68" s="102"/>
      <c r="K68" s="102">
        <v>0.19</v>
      </c>
      <c r="L68" s="102">
        <v>0.19</v>
      </c>
      <c r="M68" s="102">
        <v>0.19</v>
      </c>
      <c r="N68" s="103">
        <v>0.19</v>
      </c>
      <c r="O68" s="263">
        <v>0.19</v>
      </c>
      <c r="P68" s="382">
        <v>0.19</v>
      </c>
      <c r="Q68" s="102">
        <v>0.19</v>
      </c>
      <c r="R68" s="102">
        <v>0.19</v>
      </c>
      <c r="S68" s="102">
        <v>0.19</v>
      </c>
      <c r="T68" s="103">
        <v>0.19</v>
      </c>
      <c r="U68" s="102">
        <v>0.19</v>
      </c>
      <c r="V68" s="102">
        <v>0.19</v>
      </c>
      <c r="W68" s="102">
        <v>0.19</v>
      </c>
      <c r="X68" s="103">
        <v>0.19</v>
      </c>
    </row>
    <row r="69" spans="2:26" s="7" customFormat="1" ht="16.5" customHeight="1" x14ac:dyDescent="0.25">
      <c r="B69" s="143" t="s">
        <v>12</v>
      </c>
      <c r="C69" s="24" t="s">
        <v>34</v>
      </c>
      <c r="D69" s="347"/>
      <c r="E69" s="102"/>
      <c r="F69" s="102"/>
      <c r="G69" s="102"/>
      <c r="H69" s="102"/>
      <c r="I69" s="102"/>
      <c r="J69" s="102"/>
      <c r="K69" s="102">
        <v>0.1091</v>
      </c>
      <c r="L69" s="102">
        <v>0.1091</v>
      </c>
      <c r="M69" s="102">
        <f>N69</f>
        <v>0.1091</v>
      </c>
      <c r="N69" s="176">
        <v>0.1091</v>
      </c>
      <c r="O69" s="263">
        <f t="shared" ref="O69:X69" si="40">N69</f>
        <v>0.1091</v>
      </c>
      <c r="P69" s="382">
        <f t="shared" si="40"/>
        <v>0.1091</v>
      </c>
      <c r="Q69" s="102">
        <f t="shared" si="40"/>
        <v>0.1091</v>
      </c>
      <c r="R69" s="102">
        <f t="shared" si="40"/>
        <v>0.1091</v>
      </c>
      <c r="S69" s="102">
        <f t="shared" si="40"/>
        <v>0.1091</v>
      </c>
      <c r="T69" s="103">
        <f t="shared" si="40"/>
        <v>0.1091</v>
      </c>
      <c r="U69" s="102">
        <f t="shared" si="40"/>
        <v>0.1091</v>
      </c>
      <c r="V69" s="102">
        <f t="shared" si="40"/>
        <v>0.1091</v>
      </c>
      <c r="W69" s="102">
        <f t="shared" si="40"/>
        <v>0.1091</v>
      </c>
      <c r="X69" s="103">
        <f t="shared" si="40"/>
        <v>0.1091</v>
      </c>
    </row>
    <row r="70" spans="2:26" s="7" customFormat="1" ht="16.5" customHeight="1" x14ac:dyDescent="0.25">
      <c r="B70" s="143" t="s">
        <v>35</v>
      </c>
      <c r="C70" s="24" t="s">
        <v>36</v>
      </c>
      <c r="D70" s="347"/>
      <c r="E70" s="41"/>
      <c r="F70" s="41"/>
      <c r="G70" s="41"/>
      <c r="H70" s="41"/>
      <c r="I70" s="41"/>
      <c r="J70" s="41"/>
      <c r="K70" s="41">
        <f>K71*K69</f>
        <v>2.3423769999999997E-2</v>
      </c>
      <c r="L70" s="41">
        <f>L71*L69</f>
        <v>0.186561</v>
      </c>
      <c r="M70" s="41">
        <f>M71*M69</f>
        <v>0.97509215999999999</v>
      </c>
      <c r="N70" s="34">
        <f>'[8]MAIN SHEET'!$D$15</f>
        <v>0.99031563</v>
      </c>
      <c r="O70" s="264">
        <f t="shared" ref="O70:X70" si="41">O71*O69</f>
        <v>2.0206629199999999</v>
      </c>
      <c r="P70" s="383">
        <f t="shared" si="41"/>
        <v>2.0206629199999999</v>
      </c>
      <c r="Q70" s="41">
        <f t="shared" si="41"/>
        <v>2.0206629199999999</v>
      </c>
      <c r="R70" s="41">
        <f t="shared" si="41"/>
        <v>2.0206629199999999</v>
      </c>
      <c r="S70" s="41">
        <f t="shared" si="41"/>
        <v>2.0206629199999999</v>
      </c>
      <c r="T70" s="34">
        <f t="shared" si="41"/>
        <v>2.0206629199999999</v>
      </c>
      <c r="U70" s="41">
        <f t="shared" si="41"/>
        <v>2.0206629199999999</v>
      </c>
      <c r="V70" s="41">
        <f t="shared" si="41"/>
        <v>2.0206629199999999</v>
      </c>
      <c r="W70" s="41">
        <f t="shared" si="41"/>
        <v>2.0206629199999999</v>
      </c>
      <c r="X70" s="34">
        <f t="shared" si="41"/>
        <v>2.0206629199999999</v>
      </c>
    </row>
    <row r="71" spans="2:26" s="7" customFormat="1" ht="16.5" customHeight="1" x14ac:dyDescent="0.25">
      <c r="B71" s="105" t="s">
        <v>116</v>
      </c>
      <c r="C71" s="189" t="s">
        <v>36</v>
      </c>
      <c r="D71" s="348"/>
      <c r="E71" s="95"/>
      <c r="F71" s="95"/>
      <c r="G71" s="95"/>
      <c r="H71" s="95"/>
      <c r="I71" s="95"/>
      <c r="J71" s="95"/>
      <c r="K71" s="95">
        <f t="shared" ref="K71:X71" si="42">K67*K68</f>
        <v>0.21469999999999997</v>
      </c>
      <c r="L71" s="95">
        <f t="shared" si="42"/>
        <v>1.71</v>
      </c>
      <c r="M71" s="95">
        <f t="shared" si="42"/>
        <v>8.9375999999999998</v>
      </c>
      <c r="N71" s="96">
        <f t="shared" si="42"/>
        <v>18.5212</v>
      </c>
      <c r="O71" s="368">
        <f t="shared" si="42"/>
        <v>18.5212</v>
      </c>
      <c r="P71" s="346">
        <f t="shared" si="42"/>
        <v>18.5212</v>
      </c>
      <c r="Q71" s="95">
        <f t="shared" si="42"/>
        <v>18.5212</v>
      </c>
      <c r="R71" s="95">
        <f t="shared" si="42"/>
        <v>18.5212</v>
      </c>
      <c r="S71" s="95">
        <f t="shared" si="42"/>
        <v>18.5212</v>
      </c>
      <c r="T71" s="96">
        <f t="shared" si="42"/>
        <v>18.5212</v>
      </c>
      <c r="U71" s="95">
        <f t="shared" si="42"/>
        <v>18.5212</v>
      </c>
      <c r="V71" s="95">
        <f t="shared" si="42"/>
        <v>18.5212</v>
      </c>
      <c r="W71" s="95">
        <f t="shared" si="42"/>
        <v>18.5212</v>
      </c>
      <c r="X71" s="96">
        <f t="shared" si="42"/>
        <v>18.5212</v>
      </c>
    </row>
    <row r="72" spans="2:26" s="7" customFormat="1" ht="16.5" hidden="1" customHeight="1" x14ac:dyDescent="0.25">
      <c r="B72" s="336" t="s">
        <v>135</v>
      </c>
      <c r="C72" s="24" t="s">
        <v>36</v>
      </c>
      <c r="D72" s="347"/>
      <c r="E72" s="41"/>
      <c r="F72" s="41"/>
      <c r="G72" s="41"/>
      <c r="H72" s="41"/>
      <c r="I72" s="41"/>
      <c r="J72" s="41"/>
      <c r="K72" s="41"/>
      <c r="L72" s="41"/>
      <c r="M72" s="41"/>
      <c r="N72" s="177">
        <f>'[6]MAIN SHEET'!$B$35</f>
        <v>17.96325886</v>
      </c>
      <c r="O72" s="264"/>
      <c r="P72" s="383"/>
      <c r="Q72" s="41"/>
      <c r="R72" s="41"/>
      <c r="S72" s="41"/>
      <c r="T72" s="34"/>
      <c r="U72" s="41"/>
      <c r="V72" s="41"/>
      <c r="W72" s="41"/>
      <c r="X72" s="34"/>
    </row>
    <row r="73" spans="2:26" s="7" customFormat="1" ht="16.5" hidden="1" customHeight="1" x14ac:dyDescent="0.25">
      <c r="B73" s="143"/>
      <c r="C73" s="24"/>
      <c r="D73" s="347"/>
      <c r="E73" s="41"/>
      <c r="F73" s="41"/>
      <c r="G73" s="41"/>
      <c r="H73" s="41"/>
      <c r="I73" s="41"/>
      <c r="J73" s="41"/>
      <c r="K73" s="41"/>
      <c r="L73" s="41"/>
      <c r="M73" s="41"/>
      <c r="N73" s="177">
        <f>N72/N65*N66</f>
        <v>93.946469705311671</v>
      </c>
      <c r="O73" s="264"/>
      <c r="P73" s="383"/>
      <c r="Q73" s="41"/>
      <c r="R73" s="41"/>
      <c r="S73" s="41"/>
      <c r="T73" s="34"/>
      <c r="U73" s="41"/>
      <c r="V73" s="41"/>
      <c r="W73" s="41"/>
      <c r="X73" s="34"/>
    </row>
    <row r="74" spans="2:26" s="7" customFormat="1" ht="16.5" customHeight="1" x14ac:dyDescent="0.25">
      <c r="B74" s="149" t="s">
        <v>139</v>
      </c>
      <c r="C74" s="24" t="s">
        <v>34</v>
      </c>
      <c r="D74" s="347"/>
      <c r="E74" s="41"/>
      <c r="F74" s="41"/>
      <c r="G74" s="41"/>
      <c r="H74" s="41"/>
      <c r="I74" s="41"/>
      <c r="J74" s="41"/>
      <c r="K74" s="41"/>
      <c r="L74" s="41"/>
      <c r="M74" s="41"/>
      <c r="N74" s="176">
        <f>N75/(N67+N62)</f>
        <v>0.1608456619139283</v>
      </c>
      <c r="O74" s="264"/>
      <c r="P74" s="383"/>
      <c r="Q74" s="41"/>
      <c r="R74" s="41"/>
      <c r="S74" s="41"/>
      <c r="T74" s="34"/>
      <c r="U74" s="41"/>
      <c r="V74" s="41"/>
      <c r="W74" s="41"/>
      <c r="X74" s="34"/>
    </row>
    <row r="75" spans="2:26" s="7" customFormat="1" ht="16.5" customHeight="1" x14ac:dyDescent="0.25">
      <c r="B75" s="149" t="s">
        <v>118</v>
      </c>
      <c r="C75" s="24" t="s">
        <v>36</v>
      </c>
      <c r="D75" s="347"/>
      <c r="E75" s="40"/>
      <c r="F75" s="40"/>
      <c r="G75" s="40"/>
      <c r="H75" s="40"/>
      <c r="I75" s="40"/>
      <c r="J75" s="40"/>
      <c r="K75" s="40">
        <f t="shared" ref="K75:X75" si="43">K71+K66</f>
        <v>101.182341089952</v>
      </c>
      <c r="L75" s="40">
        <f t="shared" si="43"/>
        <v>96.311335156336</v>
      </c>
      <c r="M75" s="40">
        <f t="shared" si="43"/>
        <v>95.700953516072218</v>
      </c>
      <c r="N75" s="30">
        <f t="shared" si="43"/>
        <v>98.756800579707146</v>
      </c>
      <c r="O75" s="262">
        <f t="shared" si="43"/>
        <v>106.65432000000001</v>
      </c>
      <c r="P75" s="347">
        <f t="shared" si="43"/>
        <v>108.57208</v>
      </c>
      <c r="Q75" s="40">
        <f t="shared" si="43"/>
        <v>107.28984</v>
      </c>
      <c r="R75" s="40">
        <f t="shared" si="43"/>
        <v>106.0076</v>
      </c>
      <c r="S75" s="40">
        <f t="shared" si="43"/>
        <v>104.72536000000002</v>
      </c>
      <c r="T75" s="25">
        <f t="shared" si="43"/>
        <v>103.44311999999999</v>
      </c>
      <c r="U75" s="40">
        <f t="shared" si="43"/>
        <v>102.16088000000002</v>
      </c>
      <c r="V75" s="40">
        <f t="shared" si="43"/>
        <v>100.87864000000002</v>
      </c>
      <c r="W75" s="40">
        <f t="shared" si="43"/>
        <v>99.596400000000017</v>
      </c>
      <c r="X75" s="25">
        <f t="shared" si="43"/>
        <v>98.314160000000015</v>
      </c>
    </row>
    <row r="76" spans="2:26" s="7" customFormat="1" ht="16.5" customHeight="1" x14ac:dyDescent="0.25">
      <c r="B76" s="149" t="s">
        <v>119</v>
      </c>
      <c r="C76" s="24" t="s">
        <v>36</v>
      </c>
      <c r="D76" s="347"/>
      <c r="E76" s="40"/>
      <c r="F76" s="40"/>
      <c r="G76" s="40"/>
      <c r="H76" s="40"/>
      <c r="I76" s="40"/>
      <c r="J76" s="40"/>
      <c r="K76" s="40">
        <f t="shared" ref="K76:X76" si="44">K65+K70</f>
        <v>19.37554123</v>
      </c>
      <c r="L76" s="40">
        <f t="shared" si="44"/>
        <v>18.327633799999997</v>
      </c>
      <c r="M76" s="40">
        <f t="shared" si="44"/>
        <v>17.557458959999998</v>
      </c>
      <c r="N76" s="25">
        <f>N65+N70</f>
        <v>16.331955050000001</v>
      </c>
      <c r="O76" s="262">
        <f t="shared" si="44"/>
        <v>18.87236638118852</v>
      </c>
      <c r="P76" s="347">
        <f t="shared" si="44"/>
        <v>19.239056257023268</v>
      </c>
      <c r="Q76" s="40">
        <f t="shared" si="44"/>
        <v>18.993882498893811</v>
      </c>
      <c r="R76" s="40">
        <f t="shared" si="44"/>
        <v>18.748708740764354</v>
      </c>
      <c r="S76" s="40">
        <f t="shared" si="44"/>
        <v>18.503534982634903</v>
      </c>
      <c r="T76" s="25">
        <f t="shared" si="44"/>
        <v>18.258361224505439</v>
      </c>
      <c r="U76" s="40">
        <f t="shared" si="44"/>
        <v>18.013187466375989</v>
      </c>
      <c r="V76" s="40">
        <f t="shared" si="44"/>
        <v>17.768013708246531</v>
      </c>
      <c r="W76" s="40">
        <f t="shared" si="44"/>
        <v>17.522839950117074</v>
      </c>
      <c r="X76" s="25">
        <f t="shared" si="44"/>
        <v>17.277666191987617</v>
      </c>
      <c r="Z76" s="42"/>
    </row>
    <row r="77" spans="2:26" s="7" customFormat="1" ht="16.5" customHeight="1" x14ac:dyDescent="0.25">
      <c r="B77" s="106" t="s">
        <v>117</v>
      </c>
      <c r="C77" s="189" t="s">
        <v>34</v>
      </c>
      <c r="D77" s="348"/>
      <c r="E77" s="107"/>
      <c r="F77" s="107"/>
      <c r="G77" s="107"/>
      <c r="H77" s="107"/>
      <c r="I77" s="107"/>
      <c r="J77" s="107"/>
      <c r="K77" s="107">
        <f t="shared" ref="K77:X77" si="45">K76/K75</f>
        <v>0.19149133160276427</v>
      </c>
      <c r="L77" s="107">
        <f t="shared" si="45"/>
        <v>0.19029570891370085</v>
      </c>
      <c r="M77" s="107">
        <f t="shared" si="45"/>
        <v>0.18346169306506818</v>
      </c>
      <c r="N77" s="178">
        <f t="shared" si="45"/>
        <v>0.16537549772907428</v>
      </c>
      <c r="O77" s="270">
        <f t="shared" si="45"/>
        <v>0.17694891666074583</v>
      </c>
      <c r="P77" s="385">
        <f t="shared" si="45"/>
        <v>0.1772007707416425</v>
      </c>
      <c r="Q77" s="107">
        <f t="shared" si="45"/>
        <v>0.17703337519092033</v>
      </c>
      <c r="R77" s="107">
        <f t="shared" si="45"/>
        <v>0.17686193009524179</v>
      </c>
      <c r="S77" s="107">
        <f t="shared" si="45"/>
        <v>0.17668628670872938</v>
      </c>
      <c r="T77" s="108">
        <f t="shared" si="45"/>
        <v>0.17650628891032522</v>
      </c>
      <c r="U77" s="107">
        <f t="shared" si="45"/>
        <v>0.17632177274095509</v>
      </c>
      <c r="V77" s="107">
        <f t="shared" si="45"/>
        <v>0.17613256590539414</v>
      </c>
      <c r="W77" s="107">
        <f t="shared" si="45"/>
        <v>0.17593848723565381</v>
      </c>
      <c r="X77" s="108">
        <f t="shared" si="45"/>
        <v>0.17573934611237704</v>
      </c>
    </row>
    <row r="78" spans="2:26" s="7" customFormat="1" ht="16.5" customHeight="1" x14ac:dyDescent="0.25">
      <c r="B78" s="31" t="s">
        <v>146</v>
      </c>
      <c r="C78" s="254" t="s">
        <v>36</v>
      </c>
      <c r="D78" s="349"/>
      <c r="E78" s="169"/>
      <c r="F78" s="169"/>
      <c r="G78" s="169"/>
      <c r="H78" s="169"/>
      <c r="I78" s="169"/>
      <c r="J78" s="169"/>
      <c r="K78" s="169">
        <f>'Appendix C Industry details'!J134</f>
        <v>5.37</v>
      </c>
      <c r="L78" s="169">
        <f>'Appendix C Industry details'!K134</f>
        <v>4.62</v>
      </c>
      <c r="M78" s="169">
        <f>'Appendix C Industry details'!L134</f>
        <v>1.08</v>
      </c>
      <c r="N78" s="180">
        <f>'Appendix C Industry details'!M134</f>
        <v>10.55</v>
      </c>
      <c r="O78" s="267">
        <f>AVERAGE(H78:N78)</f>
        <v>5.4050000000000002</v>
      </c>
      <c r="P78" s="388">
        <f t="shared" ref="P78:X78" si="46">O78</f>
        <v>5.4050000000000002</v>
      </c>
      <c r="Q78" s="21">
        <f t="shared" si="46"/>
        <v>5.4050000000000002</v>
      </c>
      <c r="R78" s="21">
        <f t="shared" si="46"/>
        <v>5.4050000000000002</v>
      </c>
      <c r="S78" s="21">
        <f t="shared" si="46"/>
        <v>5.4050000000000002</v>
      </c>
      <c r="T78" s="189">
        <f t="shared" si="46"/>
        <v>5.4050000000000002</v>
      </c>
      <c r="U78" s="21">
        <f t="shared" si="46"/>
        <v>5.4050000000000002</v>
      </c>
      <c r="V78" s="21">
        <f t="shared" si="46"/>
        <v>5.4050000000000002</v>
      </c>
      <c r="W78" s="21">
        <f t="shared" si="46"/>
        <v>5.4050000000000002</v>
      </c>
      <c r="X78" s="189">
        <f t="shared" si="46"/>
        <v>5.4050000000000002</v>
      </c>
    </row>
    <row r="79" spans="2:26" s="7" customFormat="1" ht="16.5" customHeight="1" x14ac:dyDescent="0.25">
      <c r="B79" s="170" t="s">
        <v>153</v>
      </c>
      <c r="C79" s="254" t="s">
        <v>36</v>
      </c>
      <c r="D79" s="350"/>
      <c r="E79" s="171">
        <f t="shared" ref="E79:X79" si="47">E61+E78</f>
        <v>630.2595080100001</v>
      </c>
      <c r="F79" s="171">
        <f t="shared" si="47"/>
        <v>632.18352123</v>
      </c>
      <c r="G79" s="171">
        <f t="shared" si="47"/>
        <v>606.08973693000007</v>
      </c>
      <c r="H79" s="171">
        <f t="shared" si="47"/>
        <v>608.26169660000005</v>
      </c>
      <c r="I79" s="171">
        <f t="shared" si="47"/>
        <v>535.43200487000001</v>
      </c>
      <c r="J79" s="171">
        <f t="shared" si="47"/>
        <v>612.56939210000007</v>
      </c>
      <c r="K79" s="171">
        <f t="shared" si="47"/>
        <v>631.29975922000006</v>
      </c>
      <c r="L79" s="171">
        <f t="shared" si="47"/>
        <v>599.02430171000003</v>
      </c>
      <c r="M79" s="171">
        <f t="shared" si="47"/>
        <v>581.41196277000006</v>
      </c>
      <c r="N79" s="190">
        <f t="shared" si="47"/>
        <v>624.53485606999993</v>
      </c>
      <c r="O79" s="375">
        <f t="shared" si="47"/>
        <v>653.71699999999998</v>
      </c>
      <c r="P79" s="350">
        <f t="shared" si="47"/>
        <v>665.70299999999997</v>
      </c>
      <c r="Q79" s="171">
        <f t="shared" si="47"/>
        <v>657.68899999999996</v>
      </c>
      <c r="R79" s="171">
        <f t="shared" si="47"/>
        <v>649.67499999999995</v>
      </c>
      <c r="S79" s="171">
        <f t="shared" si="47"/>
        <v>641.66100000000006</v>
      </c>
      <c r="T79" s="190">
        <f t="shared" si="47"/>
        <v>633.64699999999993</v>
      </c>
      <c r="U79" s="171">
        <f t="shared" si="47"/>
        <v>625.63300000000004</v>
      </c>
      <c r="V79" s="171">
        <f t="shared" si="47"/>
        <v>617.61900000000003</v>
      </c>
      <c r="W79" s="171">
        <f t="shared" si="47"/>
        <v>609.60500000000002</v>
      </c>
      <c r="X79" s="190">
        <f t="shared" si="47"/>
        <v>601.59100000000001</v>
      </c>
    </row>
    <row r="80" spans="2:26" x14ac:dyDescent="0.25">
      <c r="B80" s="7"/>
      <c r="C80" s="8"/>
      <c r="D80" s="6"/>
      <c r="E80" s="7"/>
      <c r="F80" s="7"/>
      <c r="G80" s="7"/>
      <c r="H80" s="7"/>
      <c r="I80" s="7"/>
      <c r="J80" s="7"/>
      <c r="K80" s="7"/>
      <c r="L80" s="7"/>
      <c r="N80" s="8"/>
      <c r="O80" s="234"/>
      <c r="P80" s="6"/>
      <c r="Q80" s="7"/>
      <c r="R80" s="7"/>
      <c r="S80" s="7"/>
      <c r="T80" s="8"/>
      <c r="U80" s="7"/>
      <c r="V80" s="7"/>
      <c r="W80" s="7"/>
      <c r="X80" s="8"/>
    </row>
    <row r="81" spans="2:24" x14ac:dyDescent="0.25">
      <c r="B81" s="395" t="s">
        <v>233</v>
      </c>
      <c r="C81" s="13"/>
      <c r="D81" s="359"/>
      <c r="E81" s="282"/>
      <c r="F81" s="282"/>
      <c r="G81" s="282"/>
      <c r="H81" s="282"/>
      <c r="I81" s="282"/>
      <c r="J81" s="282"/>
      <c r="K81" s="282"/>
      <c r="L81" s="282"/>
      <c r="M81" s="282"/>
      <c r="N81" s="283"/>
      <c r="O81" s="365"/>
      <c r="P81" s="359"/>
      <c r="Q81" s="282"/>
      <c r="R81" s="282"/>
      <c r="S81" s="282"/>
      <c r="T81" s="283"/>
      <c r="U81" s="282"/>
      <c r="V81" s="282"/>
      <c r="W81" s="282"/>
      <c r="X81" s="283"/>
    </row>
    <row r="82" spans="2:24" s="18" customFormat="1" ht="12.75" x14ac:dyDescent="0.2">
      <c r="B82" s="210" t="s">
        <v>234</v>
      </c>
      <c r="C82" s="24" t="s">
        <v>36</v>
      </c>
      <c r="D82" s="360"/>
      <c r="E82" s="361">
        <f t="shared" ref="E82:X82" si="48">E61+E38+E15</f>
        <v>4624.49009381</v>
      </c>
      <c r="F82" s="361">
        <f t="shared" si="48"/>
        <v>4711.9125066200004</v>
      </c>
      <c r="G82" s="361">
        <f t="shared" si="48"/>
        <v>4567.8125719599993</v>
      </c>
      <c r="H82" s="361">
        <f t="shared" si="48"/>
        <v>4625.8449520600007</v>
      </c>
      <c r="I82" s="361">
        <f t="shared" si="48"/>
        <v>4417.089472919999</v>
      </c>
      <c r="J82" s="361">
        <f>J61+J38+J15</f>
        <v>4784.0880842299994</v>
      </c>
      <c r="K82" s="361">
        <f>K61+K38+K15</f>
        <v>4891.3993895599997</v>
      </c>
      <c r="L82" s="361">
        <f t="shared" si="48"/>
        <v>4857.2483577900002</v>
      </c>
      <c r="M82" s="361">
        <f t="shared" si="48"/>
        <v>4999.742809020001</v>
      </c>
      <c r="N82" s="211">
        <f>N61+N38+N15</f>
        <v>5164.9421170100004</v>
      </c>
      <c r="O82" s="376">
        <f t="shared" si="48"/>
        <v>5436.6256069951851</v>
      </c>
      <c r="P82" s="360">
        <f>P61+P38+P15</f>
        <v>5657.0686010647541</v>
      </c>
      <c r="Q82" s="361">
        <f t="shared" si="48"/>
        <v>5669.0512593445519</v>
      </c>
      <c r="R82" s="361">
        <f t="shared" si="48"/>
        <v>5713.5996477580957</v>
      </c>
      <c r="S82" s="361">
        <f t="shared" si="48"/>
        <v>5754.2494373202808</v>
      </c>
      <c r="T82" s="211">
        <f t="shared" si="48"/>
        <v>5803.016791647382</v>
      </c>
      <c r="U82" s="361">
        <f t="shared" si="48"/>
        <v>5848.5996179516842</v>
      </c>
      <c r="V82" s="361">
        <f t="shared" si="48"/>
        <v>5894.4557168729416</v>
      </c>
      <c r="W82" s="361">
        <f t="shared" si="48"/>
        <v>5940.5328455058661</v>
      </c>
      <c r="X82" s="211">
        <f t="shared" si="48"/>
        <v>5987.8774245889617</v>
      </c>
    </row>
    <row r="83" spans="2:24" s="18" customFormat="1" ht="12.75" x14ac:dyDescent="0.2">
      <c r="B83" s="35" t="s">
        <v>156</v>
      </c>
      <c r="C83" s="24" t="s">
        <v>34</v>
      </c>
      <c r="D83" s="90"/>
      <c r="E83" s="35"/>
      <c r="F83" s="35"/>
      <c r="G83" s="35"/>
      <c r="H83" s="35"/>
      <c r="I83" s="35"/>
      <c r="J83" s="35"/>
      <c r="K83" s="311">
        <f>K15/K$82</f>
        <v>0.69765295933787319</v>
      </c>
      <c r="L83" s="311">
        <f t="shared" ref="L83:X83" si="49">L15/L$82</f>
        <v>0.68640297437394171</v>
      </c>
      <c r="M83" s="311">
        <f t="shared" si="49"/>
        <v>0.69062234146936241</v>
      </c>
      <c r="N83" s="311">
        <f t="shared" si="49"/>
        <v>0.68409767896788209</v>
      </c>
      <c r="O83" s="311">
        <f t="shared" si="49"/>
        <v>0.71270331453754954</v>
      </c>
      <c r="P83" s="311">
        <f t="shared" si="49"/>
        <v>0.69690309223450531</v>
      </c>
      <c r="Q83" s="311">
        <f t="shared" si="49"/>
        <v>0.70195806622582013</v>
      </c>
      <c r="R83" s="311">
        <f t="shared" si="49"/>
        <v>0.70306109902787661</v>
      </c>
      <c r="S83" s="311">
        <f t="shared" si="49"/>
        <v>0.70470975085305043</v>
      </c>
      <c r="T83" s="311">
        <f t="shared" si="49"/>
        <v>0.70542180922852082</v>
      </c>
      <c r="U83" s="311">
        <f>U15/U$82</f>
        <v>0.70657202638603034</v>
      </c>
      <c r="V83" s="311">
        <f t="shared" si="49"/>
        <v>0.70772964447976272</v>
      </c>
      <c r="W83" s="311">
        <f t="shared" si="49"/>
        <v>0.70889465979988575</v>
      </c>
      <c r="X83" s="311">
        <f t="shared" si="49"/>
        <v>0.70993768191231821</v>
      </c>
    </row>
    <row r="84" spans="2:24" s="18" customFormat="1" ht="12.75" x14ac:dyDescent="0.2">
      <c r="B84" s="35" t="s">
        <v>157</v>
      </c>
      <c r="C84" s="24" t="s">
        <v>34</v>
      </c>
      <c r="D84" s="90"/>
      <c r="E84" s="35"/>
      <c r="F84" s="35"/>
      <c r="G84" s="35"/>
      <c r="H84" s="35"/>
      <c r="I84" s="35"/>
      <c r="J84" s="35"/>
      <c r="K84" s="311">
        <f>K38/K$82</f>
        <v>0.17438166524094204</v>
      </c>
      <c r="L84" s="311">
        <f t="shared" ref="L84:X84" si="50">L38/L$82</f>
        <v>0.19122232745838047</v>
      </c>
      <c r="M84" s="311">
        <f t="shared" si="50"/>
        <v>0.19330529542367381</v>
      </c>
      <c r="N84" s="311">
        <f t="shared" si="50"/>
        <v>0.1970268637355243</v>
      </c>
      <c r="O84" s="311">
        <f t="shared" si="50"/>
        <v>0.16804771618160999</v>
      </c>
      <c r="P84" s="311">
        <f t="shared" si="50"/>
        <v>0.18637603224425373</v>
      </c>
      <c r="Q84" s="311">
        <f t="shared" si="50"/>
        <v>0.18298141127055795</v>
      </c>
      <c r="R84" s="311">
        <f t="shared" si="50"/>
        <v>0.18417811272669579</v>
      </c>
      <c r="S84" s="311">
        <f t="shared" si="50"/>
        <v>0.18471874769735294</v>
      </c>
      <c r="T84" s="311">
        <f t="shared" si="50"/>
        <v>0.18631691520455945</v>
      </c>
      <c r="U84" s="311">
        <f t="shared" si="50"/>
        <v>0.18738070751350475</v>
      </c>
      <c r="V84" s="311">
        <f t="shared" si="50"/>
        <v>0.18840767007372</v>
      </c>
      <c r="W84" s="311">
        <f t="shared" si="50"/>
        <v>0.18939729216582216</v>
      </c>
      <c r="X84" s="311">
        <f t="shared" si="50"/>
        <v>0.1904968197106128</v>
      </c>
    </row>
    <row r="85" spans="2:24" s="18" customFormat="1" ht="12.75" x14ac:dyDescent="0.2">
      <c r="B85" s="35" t="s">
        <v>158</v>
      </c>
      <c r="C85" s="24" t="s">
        <v>34</v>
      </c>
      <c r="D85" s="90"/>
      <c r="E85" s="35"/>
      <c r="F85" s="35"/>
      <c r="G85" s="35"/>
      <c r="H85" s="35"/>
      <c r="I85" s="35"/>
      <c r="J85" s="35"/>
      <c r="K85" s="311">
        <f>K61/K$82</f>
        <v>0.12796537542118491</v>
      </c>
      <c r="L85" s="311">
        <f t="shared" ref="L85:X85" si="51">L61/L$82</f>
        <v>0.12237469816767782</v>
      </c>
      <c r="M85" s="311">
        <f t="shared" si="51"/>
        <v>0.11607236310696366</v>
      </c>
      <c r="N85" s="311">
        <f t="shared" si="51"/>
        <v>0.11887545729659359</v>
      </c>
      <c r="O85" s="311">
        <f t="shared" si="51"/>
        <v>0.11924896928084057</v>
      </c>
      <c r="P85" s="311">
        <f t="shared" si="51"/>
        <v>0.11672087552124098</v>
      </c>
      <c r="Q85" s="311">
        <f t="shared" si="51"/>
        <v>0.11506052250362192</v>
      </c>
      <c r="R85" s="311">
        <f t="shared" si="51"/>
        <v>0.11276078824542754</v>
      </c>
      <c r="S85" s="311">
        <f t="shared" si="51"/>
        <v>0.11057150144959664</v>
      </c>
      <c r="T85" s="311">
        <f t="shared" si="51"/>
        <v>0.10826127556691979</v>
      </c>
      <c r="U85" s="311">
        <f t="shared" si="51"/>
        <v>0.10604726610046498</v>
      </c>
      <c r="V85" s="311">
        <f t="shared" si="51"/>
        <v>0.10386268544651732</v>
      </c>
      <c r="W85" s="311">
        <f t="shared" si="51"/>
        <v>0.10170804803429201</v>
      </c>
      <c r="X85" s="311">
        <f t="shared" si="51"/>
        <v>9.9565498377068948E-2</v>
      </c>
    </row>
    <row r="86" spans="2:24" ht="7.5" customHeight="1" x14ac:dyDescent="0.25">
      <c r="B86" s="7"/>
      <c r="C86" s="8"/>
      <c r="D86" s="6"/>
      <c r="E86" s="7"/>
      <c r="F86" s="7"/>
      <c r="G86" s="7"/>
      <c r="H86" s="7"/>
      <c r="I86" s="7"/>
      <c r="J86" s="7"/>
      <c r="K86" s="7"/>
      <c r="L86" s="7"/>
      <c r="N86" s="8"/>
      <c r="O86" s="234"/>
      <c r="P86" s="6"/>
      <c r="Q86" s="7"/>
      <c r="R86" s="7"/>
      <c r="S86" s="7"/>
      <c r="T86" s="8"/>
      <c r="U86" s="7"/>
      <c r="V86" s="7"/>
      <c r="W86" s="7"/>
      <c r="X86" s="8"/>
    </row>
    <row r="87" spans="2:24" x14ac:dyDescent="0.25">
      <c r="B87" s="212" t="s">
        <v>159</v>
      </c>
      <c r="C87" s="24" t="s">
        <v>36</v>
      </c>
      <c r="D87" s="362"/>
      <c r="E87" s="363"/>
      <c r="F87" s="363"/>
      <c r="G87" s="363"/>
      <c r="H87" s="363"/>
      <c r="I87" s="363"/>
      <c r="J87" s="363"/>
      <c r="K87" s="363">
        <f t="shared" ref="K87:X87" si="52">K30+K53+K76</f>
        <v>149.88114756000002</v>
      </c>
      <c r="L87" s="363">
        <f t="shared" si="52"/>
        <v>146.80443287</v>
      </c>
      <c r="M87" s="363">
        <f t="shared" si="52"/>
        <v>147.47283085000001</v>
      </c>
      <c r="N87" s="209">
        <f>N30+N53+N76</f>
        <v>143.80551993999998</v>
      </c>
      <c r="O87" s="377">
        <f t="shared" si="52"/>
        <v>153.54507473115385</v>
      </c>
      <c r="P87" s="389">
        <f>P30+P53+P76</f>
        <v>158.98340198399376</v>
      </c>
      <c r="Q87" s="390">
        <f t="shared" si="52"/>
        <v>158.90741146024163</v>
      </c>
      <c r="R87" s="390">
        <f t="shared" si="52"/>
        <v>159.84328719500502</v>
      </c>
      <c r="S87" s="390">
        <f t="shared" si="52"/>
        <v>160.70248450321702</v>
      </c>
      <c r="T87" s="209">
        <f t="shared" si="52"/>
        <v>161.73358466024411</v>
      </c>
      <c r="U87" s="390">
        <f t="shared" si="52"/>
        <v>162.70189092692155</v>
      </c>
      <c r="V87" s="390">
        <f t="shared" si="52"/>
        <v>163.67873187071234</v>
      </c>
      <c r="W87" s="390">
        <f t="shared" si="52"/>
        <v>164.66272998399921</v>
      </c>
      <c r="X87" s="209">
        <f t="shared" si="52"/>
        <v>165.67532510186982</v>
      </c>
    </row>
    <row r="88" spans="2:24" s="7" customFormat="1" x14ac:dyDescent="0.25">
      <c r="B88" s="35" t="s">
        <v>156</v>
      </c>
      <c r="C88" s="24" t="s">
        <v>36</v>
      </c>
      <c r="D88" s="6"/>
      <c r="N88" s="25">
        <f>N19+N24</f>
        <v>97.040835459999997</v>
      </c>
      <c r="O88" s="262">
        <f>O19+O24</f>
        <v>106.97582909996532</v>
      </c>
      <c r="P88" s="347">
        <f t="shared" ref="P88:X88" si="53">P19+P24</f>
        <v>107.96690486343351</v>
      </c>
      <c r="Q88" s="40">
        <f t="shared" si="53"/>
        <v>108.66523127385737</v>
      </c>
      <c r="R88" s="40">
        <f t="shared" si="53"/>
        <v>109.38003380503359</v>
      </c>
      <c r="S88" s="40">
        <f t="shared" si="53"/>
        <v>110.10918413090842</v>
      </c>
      <c r="T88" s="25">
        <f t="shared" si="53"/>
        <v>110.85094141841086</v>
      </c>
      <c r="U88" s="40">
        <f t="shared" si="53"/>
        <v>111.60386362032926</v>
      </c>
      <c r="V88" s="40">
        <f t="shared" si="53"/>
        <v>112.36674278406807</v>
      </c>
      <c r="W88" s="40">
        <f t="shared" si="53"/>
        <v>113.13855697318671</v>
      </c>
      <c r="X88" s="25">
        <f t="shared" si="53"/>
        <v>113.91843393143137</v>
      </c>
    </row>
    <row r="89" spans="2:24" s="7" customFormat="1" x14ac:dyDescent="0.25">
      <c r="B89" s="35" t="s">
        <v>157</v>
      </c>
      <c r="C89" s="24" t="s">
        <v>36</v>
      </c>
      <c r="D89" s="6"/>
      <c r="N89" s="25">
        <f>N42+N47</f>
        <v>30.432729429999998</v>
      </c>
      <c r="O89" s="262">
        <f t="shared" ref="O89:X89" si="54">O42+O47</f>
        <v>27.696879249999999</v>
      </c>
      <c r="P89" s="347">
        <f>P42+P47</f>
        <v>31.777440863536977</v>
      </c>
      <c r="Q89" s="40">
        <f t="shared" si="54"/>
        <v>31.24829768749046</v>
      </c>
      <c r="R89" s="40">
        <f t="shared" si="54"/>
        <v>31.714544649207074</v>
      </c>
      <c r="S89" s="40">
        <f t="shared" si="54"/>
        <v>32.089765389673687</v>
      </c>
      <c r="T89" s="25">
        <f t="shared" si="54"/>
        <v>32.624282017327793</v>
      </c>
      <c r="U89" s="40">
        <f t="shared" si="54"/>
        <v>33.084839840216283</v>
      </c>
      <c r="V89" s="40">
        <f t="shared" si="54"/>
        <v>33.543975378397739</v>
      </c>
      <c r="W89" s="40">
        <f t="shared" si="54"/>
        <v>34.001333060695409</v>
      </c>
      <c r="X89" s="25">
        <f t="shared" si="54"/>
        <v>34.479224978450837</v>
      </c>
    </row>
    <row r="90" spans="2:24" s="7" customFormat="1" x14ac:dyDescent="0.25">
      <c r="B90" s="35" t="s">
        <v>158</v>
      </c>
      <c r="C90" s="24" t="s">
        <v>36</v>
      </c>
      <c r="D90" s="6"/>
      <c r="N90" s="25">
        <f>N65+N70</f>
        <v>16.331955050000001</v>
      </c>
      <c r="O90" s="262">
        <f t="shared" ref="O90:X90" si="55">O65+O70</f>
        <v>18.87236638118852</v>
      </c>
      <c r="P90" s="347">
        <f>P65+P70</f>
        <v>19.239056257023268</v>
      </c>
      <c r="Q90" s="40">
        <f t="shared" si="55"/>
        <v>18.993882498893811</v>
      </c>
      <c r="R90" s="40">
        <f t="shared" si="55"/>
        <v>18.748708740764354</v>
      </c>
      <c r="S90" s="40">
        <f t="shared" si="55"/>
        <v>18.503534982634903</v>
      </c>
      <c r="T90" s="25">
        <f t="shared" si="55"/>
        <v>18.258361224505439</v>
      </c>
      <c r="U90" s="40">
        <f t="shared" si="55"/>
        <v>18.013187466375989</v>
      </c>
      <c r="V90" s="40">
        <f t="shared" si="55"/>
        <v>17.768013708246531</v>
      </c>
      <c r="W90" s="40">
        <f t="shared" si="55"/>
        <v>17.522839950117074</v>
      </c>
      <c r="X90" s="25">
        <f t="shared" si="55"/>
        <v>17.277666191987617</v>
      </c>
    </row>
    <row r="91" spans="2:24" s="7" customFormat="1" x14ac:dyDescent="0.25">
      <c r="B91" s="35" t="s">
        <v>156</v>
      </c>
      <c r="C91" s="24" t="s">
        <v>34</v>
      </c>
      <c r="D91" s="6"/>
      <c r="N91" s="207">
        <f>N88/N$87</f>
        <v>0.67480605404082106</v>
      </c>
      <c r="O91" s="378">
        <f>O88/O$87</f>
        <v>0.6967063534097212</v>
      </c>
      <c r="P91" s="391">
        <f t="shared" ref="P91:X91" si="56">P88/P$87</f>
        <v>0.6791080296187364</v>
      </c>
      <c r="Q91" s="52">
        <f t="shared" si="56"/>
        <v>0.68382733237741544</v>
      </c>
      <c r="R91" s="52">
        <f t="shared" si="56"/>
        <v>0.68429544790074637</v>
      </c>
      <c r="S91" s="52">
        <f t="shared" si="56"/>
        <v>0.68517412454008575</v>
      </c>
      <c r="T91" s="207">
        <f t="shared" si="56"/>
        <v>0.68539222482007622</v>
      </c>
      <c r="U91" s="52">
        <f>U88/U$87</f>
        <v>0.68594079014396181</v>
      </c>
      <c r="V91" s="52">
        <f t="shared" si="56"/>
        <v>0.68650790178912835</v>
      </c>
      <c r="W91" s="52">
        <f t="shared" si="56"/>
        <v>0.68709268323305905</v>
      </c>
      <c r="X91" s="207">
        <f t="shared" si="56"/>
        <v>0.68760048523451289</v>
      </c>
    </row>
    <row r="92" spans="2:24" s="7" customFormat="1" x14ac:dyDescent="0.25">
      <c r="B92" s="35" t="s">
        <v>157</v>
      </c>
      <c r="C92" s="24" t="s">
        <v>34</v>
      </c>
      <c r="D92" s="6"/>
      <c r="N92" s="52">
        <f t="shared" ref="N92:X92" si="57">N89/N$87</f>
        <v>0.21162420915899094</v>
      </c>
      <c r="O92" s="378">
        <f t="shared" si="57"/>
        <v>0.18038272669113745</v>
      </c>
      <c r="P92" s="52">
        <f>P89/P$87</f>
        <v>0.19987898401328894</v>
      </c>
      <c r="Q92" s="52">
        <f t="shared" si="57"/>
        <v>0.19664468384666081</v>
      </c>
      <c r="R92" s="52">
        <f t="shared" si="57"/>
        <v>0.19841023796336271</v>
      </c>
      <c r="S92" s="52">
        <f t="shared" si="57"/>
        <v>0.19968431408433701</v>
      </c>
      <c r="T92" s="207">
        <f t="shared" si="57"/>
        <v>0.20171618706072741</v>
      </c>
      <c r="U92" s="581">
        <f>U89/U$87</f>
        <v>0.20334637570424133</v>
      </c>
      <c r="V92" s="52">
        <f t="shared" si="57"/>
        <v>0.20493789874235879</v>
      </c>
      <c r="W92" s="52">
        <f t="shared" si="57"/>
        <v>0.20649076487435514</v>
      </c>
      <c r="X92" s="207">
        <f t="shared" si="57"/>
        <v>0.20811321756725318</v>
      </c>
    </row>
    <row r="93" spans="2:24" s="7" customFormat="1" x14ac:dyDescent="0.25">
      <c r="B93" s="21" t="s">
        <v>158</v>
      </c>
      <c r="C93" s="189" t="s">
        <v>34</v>
      </c>
      <c r="D93" s="11"/>
      <c r="E93" s="12"/>
      <c r="F93" s="12"/>
      <c r="G93" s="12"/>
      <c r="H93" s="12"/>
      <c r="I93" s="12"/>
      <c r="J93" s="12"/>
      <c r="K93" s="12"/>
      <c r="L93" s="12"/>
      <c r="M93" s="12"/>
      <c r="N93" s="77">
        <f t="shared" ref="N93:X93" si="58">N90/N$87</f>
        <v>0.11356973680018811</v>
      </c>
      <c r="O93" s="392">
        <f t="shared" si="58"/>
        <v>0.12291091989914134</v>
      </c>
      <c r="P93" s="77">
        <f t="shared" si="58"/>
        <v>0.12101298636797464</v>
      </c>
      <c r="Q93" s="77">
        <f t="shared" si="58"/>
        <v>0.1195279837759238</v>
      </c>
      <c r="R93" s="77">
        <f t="shared" si="58"/>
        <v>0.11729431413589095</v>
      </c>
      <c r="S93" s="77">
        <f t="shared" si="58"/>
        <v>0.11514156137557718</v>
      </c>
      <c r="T93" s="208">
        <f t="shared" si="58"/>
        <v>0.11289158811919628</v>
      </c>
      <c r="U93" s="77">
        <f t="shared" si="58"/>
        <v>0.11071283415179674</v>
      </c>
      <c r="V93" s="77">
        <f t="shared" si="58"/>
        <v>0.1085541994685128</v>
      </c>
      <c r="W93" s="77">
        <f t="shared" si="58"/>
        <v>0.10641655189258567</v>
      </c>
      <c r="X93" s="208">
        <f t="shared" si="58"/>
        <v>0.1042862971982339</v>
      </c>
    </row>
    <row r="94" spans="2:24" s="7" customFormat="1" x14ac:dyDescent="0.25">
      <c r="B94" s="568"/>
      <c r="C94" s="286"/>
      <c r="N94" s="52"/>
      <c r="O94" s="378"/>
      <c r="P94" s="52"/>
      <c r="Q94" s="52"/>
      <c r="R94" s="52"/>
      <c r="S94" s="52"/>
      <c r="T94" s="207"/>
      <c r="U94" s="52"/>
      <c r="V94" s="52"/>
      <c r="W94" s="52"/>
      <c r="X94" s="495"/>
    </row>
    <row r="95" spans="2:24" s="7" customFormat="1" x14ac:dyDescent="0.25">
      <c r="C95" s="8"/>
      <c r="O95" s="234"/>
      <c r="T95" s="8"/>
      <c r="X95" s="8"/>
    </row>
    <row r="96" spans="2:24" x14ac:dyDescent="0.25">
      <c r="B96" s="395" t="s">
        <v>416</v>
      </c>
      <c r="C96" s="13"/>
      <c r="D96" s="12"/>
      <c r="E96" s="12"/>
      <c r="F96" s="12"/>
      <c r="G96" s="12"/>
      <c r="H96" s="12"/>
      <c r="I96" s="12"/>
      <c r="J96" s="12"/>
      <c r="K96" s="12"/>
      <c r="L96" s="12"/>
      <c r="M96" s="12"/>
      <c r="N96" s="12"/>
      <c r="O96" s="235"/>
      <c r="P96" s="12"/>
      <c r="Q96" s="12"/>
      <c r="R96" s="12"/>
      <c r="S96" s="12"/>
      <c r="T96" s="13"/>
      <c r="U96" s="12"/>
      <c r="V96" s="12"/>
      <c r="W96" s="12"/>
      <c r="X96" s="13"/>
    </row>
    <row r="97" spans="2:24" x14ac:dyDescent="0.25">
      <c r="B97" s="35" t="s">
        <v>156</v>
      </c>
      <c r="C97" s="24" t="s">
        <v>36</v>
      </c>
      <c r="J97" s="493">
        <v>0.7</v>
      </c>
      <c r="K97" s="492">
        <f>$J97*K$107</f>
        <v>154.07908077113999</v>
      </c>
      <c r="L97" s="492">
        <f t="shared" ref="L97:X99" si="59">$J97*L$107</f>
        <v>153.00332327038501</v>
      </c>
      <c r="M97" s="492">
        <f t="shared" si="59"/>
        <v>157.49189848413002</v>
      </c>
      <c r="N97" s="565">
        <f>$J97*N$107</f>
        <v>174.87567668581499</v>
      </c>
      <c r="O97" s="573">
        <f t="shared" si="59"/>
        <v>171.25370662034831</v>
      </c>
      <c r="P97" s="40">
        <f>$J97*P$107</f>
        <v>178.19766093353974</v>
      </c>
      <c r="Q97" s="40">
        <f t="shared" si="59"/>
        <v>178.57511466935338</v>
      </c>
      <c r="R97" s="40">
        <f t="shared" si="59"/>
        <v>179.97838890437998</v>
      </c>
      <c r="S97" s="40">
        <f t="shared" si="59"/>
        <v>181.25885727558884</v>
      </c>
      <c r="T97" s="25">
        <f t="shared" si="59"/>
        <v>182.79502893689252</v>
      </c>
      <c r="U97" s="492">
        <f t="shared" si="59"/>
        <v>184.23088796547802</v>
      </c>
      <c r="V97" s="492">
        <f t="shared" si="59"/>
        <v>185.67535508149763</v>
      </c>
      <c r="W97" s="492">
        <f t="shared" si="59"/>
        <v>187.12678463343474</v>
      </c>
      <c r="X97" s="567">
        <f t="shared" si="59"/>
        <v>188.6181388745523</v>
      </c>
    </row>
    <row r="98" spans="2:24" x14ac:dyDescent="0.25">
      <c r="B98" s="35" t="s">
        <v>157</v>
      </c>
      <c r="C98" s="24" t="s">
        <v>36</v>
      </c>
      <c r="J98" s="493">
        <v>0.13</v>
      </c>
      <c r="K98" s="492">
        <f t="shared" ref="K98:K99" si="60">$J98*K$107</f>
        <v>28.614686428925999</v>
      </c>
      <c r="L98" s="492">
        <f t="shared" si="59"/>
        <v>28.414902893071503</v>
      </c>
      <c r="M98" s="492">
        <f t="shared" si="59"/>
        <v>29.248495432767008</v>
      </c>
      <c r="N98" s="565">
        <f t="shared" si="59"/>
        <v>32.476911384508504</v>
      </c>
      <c r="O98" s="262">
        <f t="shared" si="59"/>
        <v>31.804259800921834</v>
      </c>
      <c r="P98" s="40">
        <f>$J98*P$107</f>
        <v>33.093851316228815</v>
      </c>
      <c r="Q98" s="40">
        <f t="shared" si="59"/>
        <v>33.163949867165627</v>
      </c>
      <c r="R98" s="40">
        <f t="shared" si="59"/>
        <v>33.424557939384854</v>
      </c>
      <c r="S98" s="40">
        <f t="shared" si="59"/>
        <v>33.662359208323643</v>
      </c>
      <c r="T98" s="25">
        <f t="shared" si="59"/>
        <v>33.947648231137187</v>
      </c>
      <c r="U98" s="492">
        <f t="shared" si="59"/>
        <v>34.214307765017352</v>
      </c>
      <c r="V98" s="492">
        <f t="shared" si="59"/>
        <v>34.48256594370671</v>
      </c>
      <c r="W98" s="492">
        <f t="shared" si="59"/>
        <v>34.752117146209315</v>
      </c>
      <c r="X98" s="25">
        <f t="shared" si="59"/>
        <v>35.02908293384543</v>
      </c>
    </row>
    <row r="99" spans="2:24" x14ac:dyDescent="0.25">
      <c r="B99" s="21" t="s">
        <v>158</v>
      </c>
      <c r="C99" s="189" t="s">
        <v>36</v>
      </c>
      <c r="D99" s="12"/>
      <c r="E99" s="12"/>
      <c r="F99" s="12"/>
      <c r="G99" s="12"/>
      <c r="H99" s="12"/>
      <c r="I99" s="12"/>
      <c r="J99" s="494">
        <v>0.17</v>
      </c>
      <c r="K99" s="37">
        <f t="shared" si="60"/>
        <v>37.419205330133998</v>
      </c>
      <c r="L99" s="37">
        <f t="shared" si="59"/>
        <v>37.157949937093505</v>
      </c>
      <c r="M99" s="37">
        <f t="shared" si="59"/>
        <v>38.248032489003009</v>
      </c>
      <c r="N99" s="566">
        <f t="shared" si="59"/>
        <v>42.469807195126506</v>
      </c>
      <c r="O99" s="267">
        <f t="shared" si="59"/>
        <v>41.590185893513166</v>
      </c>
      <c r="P99" s="37">
        <f t="shared" si="59"/>
        <v>43.276574798145369</v>
      </c>
      <c r="Q99" s="37">
        <f t="shared" si="59"/>
        <v>43.368242133985824</v>
      </c>
      <c r="R99" s="37">
        <f t="shared" si="59"/>
        <v>43.709037305349433</v>
      </c>
      <c r="S99" s="37">
        <f t="shared" si="59"/>
        <v>44.020008195500154</v>
      </c>
      <c r="T99" s="38">
        <f t="shared" si="59"/>
        <v>44.393078456102472</v>
      </c>
      <c r="U99" s="37">
        <f t="shared" si="59"/>
        <v>44.741787077330379</v>
      </c>
      <c r="V99" s="37">
        <f t="shared" si="59"/>
        <v>45.092586234078006</v>
      </c>
      <c r="W99" s="37">
        <f t="shared" si="59"/>
        <v>45.445076268119877</v>
      </c>
      <c r="X99" s="38">
        <f t="shared" si="59"/>
        <v>45.807262298105563</v>
      </c>
    </row>
    <row r="100" spans="2:24" x14ac:dyDescent="0.25">
      <c r="B100" s="32" t="s">
        <v>501</v>
      </c>
      <c r="C100" s="254" t="s">
        <v>36</v>
      </c>
      <c r="D100" s="43"/>
      <c r="E100" s="43"/>
      <c r="F100" s="43"/>
      <c r="G100" s="43"/>
      <c r="H100" s="43"/>
      <c r="I100" s="43"/>
      <c r="J100" s="43"/>
      <c r="K100" s="43"/>
      <c r="L100" s="43"/>
      <c r="M100" s="43"/>
      <c r="N100" s="169"/>
      <c r="O100" s="379"/>
      <c r="P100" s="43"/>
      <c r="Q100" s="43"/>
      <c r="R100" s="43"/>
      <c r="S100" s="43"/>
      <c r="T100" s="44"/>
      <c r="U100" s="43"/>
      <c r="V100" s="43"/>
      <c r="W100" s="43"/>
      <c r="X100" s="44"/>
    </row>
    <row r="101" spans="2:24" x14ac:dyDescent="0.25">
      <c r="B101" s="4"/>
      <c r="C101" s="5"/>
      <c r="D101" s="4"/>
      <c r="E101" s="4"/>
      <c r="F101" s="4"/>
      <c r="G101" s="4"/>
      <c r="H101" s="4"/>
      <c r="I101" s="4"/>
      <c r="J101" s="4"/>
      <c r="K101" s="4"/>
      <c r="L101" s="4"/>
      <c r="M101" s="4"/>
      <c r="N101" s="569"/>
      <c r="O101" s="543"/>
      <c r="P101" s="4"/>
      <c r="Q101" s="4"/>
      <c r="R101" s="4"/>
      <c r="S101" s="4"/>
      <c r="T101" s="5"/>
      <c r="U101" s="4"/>
      <c r="V101" s="4"/>
      <c r="W101" s="4"/>
      <c r="X101" s="5"/>
    </row>
    <row r="102" spans="2:24" x14ac:dyDescent="0.25">
      <c r="B102" s="7"/>
      <c r="C102" s="8"/>
      <c r="D102" s="7"/>
      <c r="E102" s="7"/>
      <c r="F102" s="7"/>
      <c r="G102" s="7"/>
      <c r="H102" s="7"/>
      <c r="I102" s="7"/>
      <c r="J102" s="7"/>
      <c r="K102" s="7"/>
      <c r="L102" s="7"/>
      <c r="O102" s="234"/>
      <c r="P102" s="7"/>
      <c r="Q102" s="7"/>
      <c r="R102" s="7"/>
      <c r="S102" s="7"/>
      <c r="T102" s="8"/>
      <c r="U102" s="7"/>
      <c r="V102" s="7"/>
      <c r="W102" s="7"/>
      <c r="X102" s="8"/>
    </row>
    <row r="103" spans="2:24" x14ac:dyDescent="0.25">
      <c r="B103" s="395" t="s">
        <v>506</v>
      </c>
      <c r="C103" s="13"/>
      <c r="D103" s="12"/>
      <c r="E103" s="12"/>
      <c r="F103" s="12"/>
      <c r="G103" s="12"/>
      <c r="H103" s="12"/>
      <c r="I103" s="12"/>
      <c r="J103" s="12"/>
      <c r="K103" s="12"/>
      <c r="L103" s="12"/>
      <c r="M103" s="12"/>
      <c r="N103" s="12"/>
      <c r="O103" s="235"/>
      <c r="P103" s="12"/>
      <c r="Q103" s="12"/>
      <c r="R103" s="12"/>
      <c r="S103" s="12"/>
      <c r="T103" s="13"/>
      <c r="U103" s="12"/>
      <c r="V103" s="12"/>
      <c r="W103" s="12"/>
      <c r="X103" s="13"/>
    </row>
    <row r="104" spans="2:24" x14ac:dyDescent="0.25">
      <c r="B104" s="7" t="s">
        <v>502</v>
      </c>
      <c r="C104" s="8"/>
      <c r="J104" s="493">
        <v>0.84</v>
      </c>
      <c r="K104" s="492">
        <f>K$82*$J104</f>
        <v>4108.7754872303994</v>
      </c>
      <c r="L104" s="492">
        <f t="shared" ref="L104:X104" si="61">L$82*$J104</f>
        <v>4080.0886205436</v>
      </c>
      <c r="M104" s="492">
        <f t="shared" si="61"/>
        <v>4199.783959576801</v>
      </c>
      <c r="N104" s="492">
        <f>N$82*$J104</f>
        <v>4338.5513782884</v>
      </c>
      <c r="O104" s="262">
        <f t="shared" si="61"/>
        <v>4566.7655098759551</v>
      </c>
      <c r="P104" s="40">
        <f>P$82*$J104</f>
        <v>4751.9376248943936</v>
      </c>
      <c r="Q104" s="40">
        <f t="shared" si="61"/>
        <v>4762.0030578494234</v>
      </c>
      <c r="R104" s="40">
        <f t="shared" si="61"/>
        <v>4799.4237041167999</v>
      </c>
      <c r="S104" s="40">
        <f t="shared" si="61"/>
        <v>4833.5695273490355</v>
      </c>
      <c r="T104" s="25">
        <f t="shared" si="61"/>
        <v>4874.5341049838007</v>
      </c>
      <c r="U104" s="492">
        <f t="shared" si="61"/>
        <v>4912.8236790794144</v>
      </c>
      <c r="V104" s="492">
        <f t="shared" si="61"/>
        <v>4951.3428021732707</v>
      </c>
      <c r="W104" s="492">
        <f t="shared" si="61"/>
        <v>4990.0475902249273</v>
      </c>
      <c r="X104" s="567">
        <f t="shared" si="61"/>
        <v>5029.8170366547274</v>
      </c>
    </row>
    <row r="105" spans="2:24" x14ac:dyDescent="0.25">
      <c r="B105" s="35" t="s">
        <v>503</v>
      </c>
      <c r="C105" s="8"/>
      <c r="J105" s="563">
        <v>0.06</v>
      </c>
      <c r="K105" s="492">
        <f t="shared" ref="K105:X107" si="62">K$82*$J105</f>
        <v>293.48396337359998</v>
      </c>
      <c r="L105" s="492">
        <f t="shared" si="62"/>
        <v>291.43490146739998</v>
      </c>
      <c r="M105" s="492">
        <f t="shared" si="62"/>
        <v>299.98456854120008</v>
      </c>
      <c r="N105" s="492">
        <f t="shared" si="62"/>
        <v>309.89652702059999</v>
      </c>
      <c r="O105" s="262">
        <f t="shared" si="62"/>
        <v>326.19753641971107</v>
      </c>
      <c r="P105" s="40">
        <f t="shared" si="62"/>
        <v>339.42411606388521</v>
      </c>
      <c r="Q105" s="40">
        <f t="shared" si="62"/>
        <v>340.14307556067308</v>
      </c>
      <c r="R105" s="40">
        <f t="shared" si="62"/>
        <v>342.8159788654857</v>
      </c>
      <c r="S105" s="40">
        <f t="shared" si="62"/>
        <v>345.25496623921686</v>
      </c>
      <c r="T105" s="25">
        <f t="shared" si="62"/>
        <v>348.18100749884292</v>
      </c>
      <c r="U105" s="492">
        <f t="shared" si="62"/>
        <v>350.91597707710105</v>
      </c>
      <c r="V105" s="492">
        <f t="shared" si="62"/>
        <v>353.66734301237648</v>
      </c>
      <c r="W105" s="492">
        <f t="shared" si="62"/>
        <v>356.43197073035196</v>
      </c>
      <c r="X105" s="25">
        <f t="shared" si="62"/>
        <v>359.2726454753377</v>
      </c>
    </row>
    <row r="106" spans="2:24" x14ac:dyDescent="0.25">
      <c r="B106" s="7" t="s">
        <v>504</v>
      </c>
      <c r="C106" s="8"/>
      <c r="J106" s="563">
        <v>5.5E-2</v>
      </c>
      <c r="K106" s="492">
        <f t="shared" si="62"/>
        <v>269.02696642579997</v>
      </c>
      <c r="L106" s="492">
        <f t="shared" si="62"/>
        <v>267.14865967845003</v>
      </c>
      <c r="M106" s="492">
        <f t="shared" si="62"/>
        <v>274.98585449610005</v>
      </c>
      <c r="N106" s="492">
        <f>N$82*$J106</f>
        <v>284.07181643555003</v>
      </c>
      <c r="O106" s="262">
        <f t="shared" si="62"/>
        <v>299.01440838473519</v>
      </c>
      <c r="P106" s="40">
        <f t="shared" si="62"/>
        <v>311.13877305856147</v>
      </c>
      <c r="Q106" s="40">
        <f t="shared" si="62"/>
        <v>311.79781926395037</v>
      </c>
      <c r="R106" s="40">
        <f t="shared" si="62"/>
        <v>314.24798062669527</v>
      </c>
      <c r="S106" s="40">
        <f t="shared" si="62"/>
        <v>316.48371905261547</v>
      </c>
      <c r="T106" s="25">
        <f t="shared" si="62"/>
        <v>319.165923540606</v>
      </c>
      <c r="U106" s="492">
        <f t="shared" si="62"/>
        <v>321.67297898734262</v>
      </c>
      <c r="V106" s="492">
        <f t="shared" si="62"/>
        <v>324.19506442801179</v>
      </c>
      <c r="W106" s="492">
        <f t="shared" si="62"/>
        <v>326.72930650282262</v>
      </c>
      <c r="X106" s="25">
        <f t="shared" si="62"/>
        <v>329.33325835239287</v>
      </c>
    </row>
    <row r="107" spans="2:24" x14ac:dyDescent="0.25">
      <c r="B107" s="12" t="s">
        <v>505</v>
      </c>
      <c r="C107" s="13"/>
      <c r="D107" s="12"/>
      <c r="E107" s="12"/>
      <c r="F107" s="12"/>
      <c r="G107" s="12"/>
      <c r="H107" s="12"/>
      <c r="I107" s="12"/>
      <c r="J107" s="570">
        <v>4.4999999999999998E-2</v>
      </c>
      <c r="K107" s="37">
        <f t="shared" si="62"/>
        <v>220.11297253019998</v>
      </c>
      <c r="L107" s="37">
        <f t="shared" si="62"/>
        <v>218.57617610055001</v>
      </c>
      <c r="M107" s="37">
        <f t="shared" si="62"/>
        <v>224.98842640590004</v>
      </c>
      <c r="N107" s="571">
        <f>(N$82*$J107)+17.4</f>
        <v>249.82239526545001</v>
      </c>
      <c r="O107" s="574">
        <f>(O$82*$J107)</f>
        <v>244.64815231478332</v>
      </c>
      <c r="P107" s="566">
        <f>(P$82*$J107)</f>
        <v>254.56808704791393</v>
      </c>
      <c r="Q107" s="571">
        <f t="shared" ref="Q107:X107" si="63">(Q$82*$J107)</f>
        <v>255.10730667050484</v>
      </c>
      <c r="R107" s="571">
        <f t="shared" si="63"/>
        <v>257.11198414911428</v>
      </c>
      <c r="S107" s="571">
        <f t="shared" si="63"/>
        <v>258.94122467941264</v>
      </c>
      <c r="T107" s="572">
        <f t="shared" si="63"/>
        <v>261.13575562413217</v>
      </c>
      <c r="U107" s="571">
        <f t="shared" si="63"/>
        <v>263.18698280782576</v>
      </c>
      <c r="V107" s="571">
        <f t="shared" si="63"/>
        <v>265.25050725928236</v>
      </c>
      <c r="W107" s="571">
        <f t="shared" si="63"/>
        <v>267.32397804776394</v>
      </c>
      <c r="X107" s="572">
        <f t="shared" si="63"/>
        <v>269.45448410650329</v>
      </c>
    </row>
    <row r="108" spans="2:24" x14ac:dyDescent="0.25">
      <c r="N108" s="308"/>
      <c r="O108" s="234"/>
      <c r="P108" s="7"/>
      <c r="Q108" s="7"/>
      <c r="R108" s="7"/>
      <c r="S108" s="7"/>
      <c r="T108" s="8"/>
    </row>
    <row r="109" spans="2:24" ht="12" customHeight="1" x14ac:dyDescent="0.25">
      <c r="O109" s="234"/>
      <c r="P109" s="45"/>
      <c r="Q109" s="7"/>
      <c r="R109" s="7"/>
      <c r="S109" s="7"/>
      <c r="T109" s="8"/>
    </row>
    <row r="110" spans="2:24" ht="12" customHeight="1" x14ac:dyDescent="0.25">
      <c r="B110" s="395" t="s">
        <v>507</v>
      </c>
      <c r="C110" s="12"/>
      <c r="D110" s="12"/>
      <c r="E110" s="12"/>
      <c r="F110" s="12"/>
      <c r="G110" s="12"/>
      <c r="H110" s="12"/>
      <c r="I110" s="12"/>
      <c r="J110" s="12"/>
      <c r="K110" s="12"/>
      <c r="L110" s="12"/>
      <c r="M110" s="12"/>
      <c r="N110" s="575" t="s">
        <v>508</v>
      </c>
      <c r="O110" s="582" t="s">
        <v>509</v>
      </c>
      <c r="P110" s="12"/>
      <c r="Q110" s="12"/>
      <c r="R110" s="12"/>
      <c r="S110" s="12"/>
      <c r="T110" s="13"/>
      <c r="U110" s="12"/>
      <c r="V110" s="12"/>
      <c r="W110" s="12"/>
      <c r="X110" s="12"/>
    </row>
    <row r="111" spans="2:24" x14ac:dyDescent="0.25">
      <c r="J111" s="493">
        <v>0.13</v>
      </c>
      <c r="N111" s="40">
        <f t="shared" ref="N111:N118" si="64">$J111*N$107</f>
        <v>32.476911384508504</v>
      </c>
      <c r="O111" s="262">
        <f t="shared" ref="O111:O118" si="65">N111-N$111</f>
        <v>0</v>
      </c>
      <c r="P111" s="7"/>
      <c r="Q111" s="7"/>
      <c r="R111" s="7"/>
      <c r="S111" s="7"/>
      <c r="T111" s="8"/>
      <c r="U111" s="40">
        <f>$J111*U$107</f>
        <v>34.214307765017352</v>
      </c>
      <c r="V111" s="40">
        <f>U111-U$111</f>
        <v>0</v>
      </c>
      <c r="X111" s="5"/>
    </row>
    <row r="112" spans="2:24" x14ac:dyDescent="0.25">
      <c r="J112" s="493">
        <v>0.14000000000000001</v>
      </c>
      <c r="N112" s="40">
        <f t="shared" si="64"/>
        <v>34.975135337163003</v>
      </c>
      <c r="O112" s="262">
        <f t="shared" si="65"/>
        <v>2.4982239526544987</v>
      </c>
      <c r="P112" s="7"/>
      <c r="Q112" s="7"/>
      <c r="R112" s="7"/>
      <c r="S112" s="7"/>
      <c r="T112" s="8"/>
      <c r="U112" s="40">
        <f t="shared" ref="U112:U118" si="66">$J112*U$107</f>
        <v>36.846177593095611</v>
      </c>
      <c r="V112" s="40">
        <f t="shared" ref="V112:V118" si="67">U112-U$111</f>
        <v>2.6318698280782584</v>
      </c>
      <c r="X112" s="8"/>
    </row>
    <row r="113" spans="2:25" x14ac:dyDescent="0.25">
      <c r="J113" s="493">
        <v>0.15</v>
      </c>
      <c r="N113" s="40">
        <f t="shared" si="64"/>
        <v>37.473359289817502</v>
      </c>
      <c r="O113" s="262">
        <f t="shared" si="65"/>
        <v>4.9964479053089974</v>
      </c>
      <c r="P113" s="7"/>
      <c r="Q113" s="7"/>
      <c r="R113" s="7"/>
      <c r="S113" s="7"/>
      <c r="T113" s="8"/>
      <c r="U113" s="40">
        <f t="shared" si="66"/>
        <v>39.478047421173862</v>
      </c>
      <c r="V113" s="40">
        <f t="shared" si="67"/>
        <v>5.2637396561565097</v>
      </c>
      <c r="X113" s="8"/>
    </row>
    <row r="114" spans="2:25" x14ac:dyDescent="0.25">
      <c r="J114" s="493">
        <v>0.16</v>
      </c>
      <c r="N114" s="40">
        <f t="shared" si="64"/>
        <v>39.971583242472001</v>
      </c>
      <c r="O114" s="262">
        <f t="shared" si="65"/>
        <v>7.4946718579634961</v>
      </c>
      <c r="P114" s="7"/>
      <c r="Q114" s="7"/>
      <c r="R114" s="7"/>
      <c r="S114" s="7"/>
      <c r="T114" s="8"/>
      <c r="U114" s="40">
        <f t="shared" si="66"/>
        <v>42.109917249252121</v>
      </c>
      <c r="V114" s="40">
        <f t="shared" si="67"/>
        <v>7.8956094842347682</v>
      </c>
      <c r="X114" s="8"/>
    </row>
    <row r="115" spans="2:25" x14ac:dyDescent="0.25">
      <c r="J115" s="493">
        <v>0.17</v>
      </c>
      <c r="N115" s="40">
        <f t="shared" si="64"/>
        <v>42.469807195126506</v>
      </c>
      <c r="O115" s="262">
        <f t="shared" si="65"/>
        <v>9.9928958106180019</v>
      </c>
      <c r="P115" s="7"/>
      <c r="Q115" s="7"/>
      <c r="R115" s="7"/>
      <c r="S115" s="7"/>
      <c r="T115" s="8"/>
      <c r="U115" s="40">
        <f t="shared" si="66"/>
        <v>44.741787077330379</v>
      </c>
      <c r="V115" s="40">
        <f t="shared" si="67"/>
        <v>10.527479312313027</v>
      </c>
      <c r="X115" s="8"/>
    </row>
    <row r="116" spans="2:25" x14ac:dyDescent="0.25">
      <c r="J116" s="493">
        <v>0.18</v>
      </c>
      <c r="N116" s="40">
        <f t="shared" si="64"/>
        <v>44.968031147780998</v>
      </c>
      <c r="O116" s="262">
        <f t="shared" si="65"/>
        <v>12.491119763272494</v>
      </c>
      <c r="P116" s="7"/>
      <c r="Q116" s="7"/>
      <c r="R116" s="7"/>
      <c r="S116" s="7"/>
      <c r="T116" s="8"/>
      <c r="U116" s="40">
        <f t="shared" si="66"/>
        <v>47.373656905408637</v>
      </c>
      <c r="V116" s="40">
        <f t="shared" si="67"/>
        <v>13.159349140391285</v>
      </c>
      <c r="X116" s="8"/>
    </row>
    <row r="117" spans="2:25" x14ac:dyDescent="0.25">
      <c r="J117" s="493">
        <v>0.19</v>
      </c>
      <c r="N117" s="40">
        <f t="shared" si="64"/>
        <v>47.466255100435504</v>
      </c>
      <c r="O117" s="262">
        <f t="shared" si="65"/>
        <v>14.989343715926999</v>
      </c>
      <c r="P117" s="7"/>
      <c r="Q117" s="7"/>
      <c r="R117" s="7"/>
      <c r="S117" s="7"/>
      <c r="T117" s="8"/>
      <c r="U117" s="40">
        <f>$J117*U$107</f>
        <v>50.005526733486896</v>
      </c>
      <c r="V117" s="40">
        <f>U117-U$111</f>
        <v>15.791218968469543</v>
      </c>
      <c r="X117" s="8"/>
    </row>
    <row r="118" spans="2:25" x14ac:dyDescent="0.25">
      <c r="B118" s="12"/>
      <c r="C118" s="12"/>
      <c r="D118" s="12"/>
      <c r="E118" s="12"/>
      <c r="F118" s="12"/>
      <c r="G118" s="12"/>
      <c r="H118" s="12"/>
      <c r="I118" s="12"/>
      <c r="J118" s="494">
        <v>0.2</v>
      </c>
      <c r="K118" s="12"/>
      <c r="L118" s="12"/>
      <c r="M118" s="12"/>
      <c r="N118" s="37">
        <f t="shared" si="64"/>
        <v>49.964479053090002</v>
      </c>
      <c r="O118" s="267">
        <f t="shared" si="65"/>
        <v>17.487567668581498</v>
      </c>
      <c r="P118" s="12"/>
      <c r="Q118" s="12"/>
      <c r="R118" s="12"/>
      <c r="S118" s="12"/>
      <c r="T118" s="13"/>
      <c r="U118" s="348">
        <f t="shared" si="66"/>
        <v>52.637396561565154</v>
      </c>
      <c r="V118" s="37">
        <f t="shared" si="67"/>
        <v>18.423088796547802</v>
      </c>
      <c r="W118" s="12"/>
      <c r="X118" s="13"/>
    </row>
    <row r="119" spans="2:25" x14ac:dyDescent="0.25">
      <c r="O119" s="372">
        <f>P87*19%</f>
        <v>30.206846376958815</v>
      </c>
      <c r="P119" s="7"/>
      <c r="Q119" s="7"/>
      <c r="R119" s="7"/>
      <c r="S119" s="7"/>
      <c r="T119" s="8"/>
      <c r="V119" s="2">
        <f>V87*19%</f>
        <v>31.098959055435344</v>
      </c>
      <c r="X119" s="5"/>
    </row>
    <row r="120" spans="2:25" x14ac:dyDescent="0.25">
      <c r="O120" s="234"/>
      <c r="P120" s="7"/>
      <c r="Q120" s="7"/>
      <c r="R120" s="7"/>
      <c r="S120" s="7"/>
      <c r="T120" s="8"/>
      <c r="X120" s="8"/>
    </row>
    <row r="121" spans="2:25" x14ac:dyDescent="0.25">
      <c r="B121" s="395" t="s">
        <v>510</v>
      </c>
      <c r="O121" s="234"/>
      <c r="P121" s="7"/>
      <c r="Q121" s="7"/>
      <c r="R121" s="7"/>
      <c r="S121" s="7"/>
      <c r="T121" s="8"/>
      <c r="X121" s="8"/>
    </row>
    <row r="122" spans="2:25" x14ac:dyDescent="0.25">
      <c r="B122" s="577" t="s">
        <v>514</v>
      </c>
      <c r="O122" s="234"/>
      <c r="T122" s="8"/>
      <c r="X122" s="8"/>
    </row>
    <row r="123" spans="2:25" x14ac:dyDescent="0.25">
      <c r="B123" s="35" t="s">
        <v>512</v>
      </c>
      <c r="C123" s="18"/>
      <c r="D123" s="18"/>
      <c r="E123" s="18"/>
      <c r="F123" s="18"/>
      <c r="G123" s="18"/>
      <c r="H123" s="18"/>
      <c r="I123" s="18"/>
      <c r="J123" s="18"/>
      <c r="K123" s="18"/>
      <c r="L123" s="18"/>
      <c r="M123" s="35"/>
      <c r="N123" s="35"/>
      <c r="O123" s="147"/>
      <c r="P123" s="40">
        <f>P87-P87*19%</f>
        <v>128.77655560703494</v>
      </c>
      <c r="Q123" s="40">
        <f>Q87-Q87*19.2%</f>
        <v>128.39718845987522</v>
      </c>
      <c r="R123" s="40">
        <f>R87-R87*19.3%</f>
        <v>128.99353276636904</v>
      </c>
      <c r="S123" s="40">
        <f>S87-S87*19.4%</f>
        <v>129.52620250959293</v>
      </c>
      <c r="T123" s="25">
        <f>T87-T87*19.4%</f>
        <v>130.35726923615675</v>
      </c>
      <c r="U123" s="18"/>
      <c r="V123" s="18"/>
      <c r="W123" s="18"/>
      <c r="X123" s="24"/>
    </row>
    <row r="124" spans="2:25" x14ac:dyDescent="0.25">
      <c r="B124" s="212" t="s">
        <v>511</v>
      </c>
      <c r="C124" s="18"/>
      <c r="D124" s="18"/>
      <c r="E124" s="18"/>
      <c r="F124" s="18"/>
      <c r="G124" s="18"/>
      <c r="H124" s="18"/>
      <c r="I124" s="18"/>
      <c r="J124" s="18"/>
      <c r="K124" s="18"/>
      <c r="L124" s="18"/>
      <c r="M124" s="35"/>
      <c r="N124" s="35"/>
      <c r="O124" s="147"/>
      <c r="P124" s="492">
        <f>P123-P87</f>
        <v>-30.206846376958822</v>
      </c>
      <c r="Q124" s="492">
        <f>Q123-Q87</f>
        <v>-30.510223000366409</v>
      </c>
      <c r="R124" s="492">
        <f>R123-R87</f>
        <v>-30.849754428635976</v>
      </c>
      <c r="S124" s="492">
        <f>S123-S87</f>
        <v>-31.176281993624087</v>
      </c>
      <c r="T124" s="25">
        <f>T123-T87</f>
        <v>-31.376315424087352</v>
      </c>
      <c r="U124" s="18"/>
      <c r="V124" s="18"/>
      <c r="W124" s="18"/>
      <c r="X124" s="24"/>
    </row>
    <row r="125" spans="2:25" x14ac:dyDescent="0.25">
      <c r="B125" s="35" t="s">
        <v>513</v>
      </c>
      <c r="C125" s="18"/>
      <c r="D125" s="18"/>
      <c r="E125" s="18"/>
      <c r="F125" s="18"/>
      <c r="G125" s="18"/>
      <c r="H125" s="18"/>
      <c r="I125" s="18"/>
      <c r="J125" s="18"/>
      <c r="K125" s="18"/>
      <c r="L125" s="18"/>
      <c r="M125" s="35"/>
      <c r="N125" s="35"/>
      <c r="O125" s="147"/>
      <c r="P125" s="492">
        <f>ABS(P124)</f>
        <v>30.206846376958822</v>
      </c>
      <c r="Q125" s="492">
        <f t="shared" ref="Q125:T125" si="68">ABS(Q124)</f>
        <v>30.510223000366409</v>
      </c>
      <c r="R125" s="492">
        <f t="shared" si="68"/>
        <v>30.849754428635976</v>
      </c>
      <c r="S125" s="492">
        <f t="shared" si="68"/>
        <v>31.176281993624087</v>
      </c>
      <c r="T125" s="25">
        <f t="shared" si="68"/>
        <v>31.376315424087352</v>
      </c>
      <c r="U125" s="18"/>
      <c r="V125" s="18"/>
      <c r="W125" s="18"/>
      <c r="X125" s="24"/>
    </row>
    <row r="126" spans="2:25" x14ac:dyDescent="0.25">
      <c r="B126" s="583" t="s">
        <v>515</v>
      </c>
      <c r="C126" s="18"/>
      <c r="D126" s="18"/>
      <c r="E126" s="18"/>
      <c r="F126" s="18"/>
      <c r="G126" s="18"/>
      <c r="H126" s="18"/>
      <c r="I126" s="18"/>
      <c r="J126" s="18"/>
      <c r="K126" s="18"/>
      <c r="L126" s="18"/>
      <c r="M126" s="35"/>
      <c r="N126" s="35"/>
      <c r="O126" s="147"/>
      <c r="P126" s="18"/>
      <c r="Q126" s="18"/>
      <c r="R126" s="18"/>
      <c r="S126" s="18"/>
      <c r="T126" s="580">
        <f>SUM(P125:T125)</f>
        <v>154.11942122367265</v>
      </c>
      <c r="U126" s="18"/>
      <c r="V126" s="18"/>
      <c r="W126" s="18"/>
      <c r="X126" s="24"/>
    </row>
    <row r="127" spans="2:25" x14ac:dyDescent="0.25">
      <c r="B127" s="404" t="s">
        <v>516</v>
      </c>
      <c r="C127" s="18"/>
      <c r="D127" s="18"/>
      <c r="E127" s="18"/>
      <c r="F127" s="18"/>
      <c r="G127" s="18"/>
      <c r="H127" s="18"/>
      <c r="I127" s="18"/>
      <c r="J127" s="18"/>
      <c r="K127" s="18"/>
      <c r="L127" s="18"/>
      <c r="M127" s="35"/>
      <c r="N127" s="35"/>
      <c r="O127" s="147"/>
      <c r="P127" s="18"/>
      <c r="Q127" s="18"/>
      <c r="R127" s="18"/>
      <c r="S127" s="18"/>
      <c r="T127" s="24"/>
      <c r="U127" s="492">
        <f>U107</f>
        <v>263.18698280782576</v>
      </c>
      <c r="V127" s="492">
        <f t="shared" ref="V127:X127" si="69">V107</f>
        <v>265.25050725928236</v>
      </c>
      <c r="W127" s="492">
        <f t="shared" si="69"/>
        <v>267.32397804776394</v>
      </c>
      <c r="X127" s="25">
        <f t="shared" si="69"/>
        <v>269.45448410650329</v>
      </c>
      <c r="Y127" s="47"/>
    </row>
    <row r="128" spans="2:25" x14ac:dyDescent="0.25">
      <c r="B128" s="404" t="s">
        <v>525</v>
      </c>
      <c r="C128" s="18"/>
      <c r="D128" s="18"/>
      <c r="E128" s="18"/>
      <c r="F128" s="18"/>
      <c r="G128" s="18"/>
      <c r="H128" s="18"/>
      <c r="I128" s="18"/>
      <c r="J128" s="18"/>
      <c r="K128" s="18"/>
      <c r="L128" s="18"/>
      <c r="M128" s="35"/>
      <c r="N128" s="35"/>
      <c r="O128" s="147"/>
      <c r="P128" s="18"/>
      <c r="Q128" s="18"/>
      <c r="R128" s="18"/>
      <c r="S128" s="18"/>
      <c r="T128" s="24"/>
      <c r="U128" s="18">
        <f>U127*13%</f>
        <v>34.214307765017352</v>
      </c>
      <c r="V128" s="18">
        <f t="shared" ref="V128:X128" si="70">V127*13%</f>
        <v>34.48256594370671</v>
      </c>
      <c r="W128" s="18">
        <f t="shared" si="70"/>
        <v>34.752117146209315</v>
      </c>
      <c r="X128" s="24">
        <f t="shared" si="70"/>
        <v>35.02908293384543</v>
      </c>
    </row>
    <row r="129" spans="2:24" x14ac:dyDescent="0.25">
      <c r="B129" s="404" t="s">
        <v>517</v>
      </c>
      <c r="C129" s="18"/>
      <c r="D129" s="18"/>
      <c r="E129" s="18"/>
      <c r="F129" s="18"/>
      <c r="G129" s="18"/>
      <c r="H129" s="18"/>
      <c r="I129" s="18"/>
      <c r="J129" s="18"/>
      <c r="K129" s="18"/>
      <c r="L129" s="18"/>
      <c r="M129" s="35"/>
      <c r="N129" s="35"/>
      <c r="O129" s="147"/>
      <c r="P129" s="18"/>
      <c r="Q129" s="18"/>
      <c r="R129" s="18"/>
      <c r="S129" s="18"/>
      <c r="T129" s="24"/>
      <c r="U129" s="584">
        <v>0.19</v>
      </c>
      <c r="V129" s="584">
        <v>0.19</v>
      </c>
      <c r="W129" s="584">
        <v>0.19</v>
      </c>
      <c r="X129" s="587">
        <v>0.19</v>
      </c>
    </row>
    <row r="130" spans="2:24" x14ac:dyDescent="0.25">
      <c r="B130" s="404" t="s">
        <v>518</v>
      </c>
      <c r="C130" s="18"/>
      <c r="D130" s="18"/>
      <c r="E130" s="18"/>
      <c r="F130" s="18"/>
      <c r="G130" s="18"/>
      <c r="H130" s="18"/>
      <c r="I130" s="18"/>
      <c r="J130" s="18"/>
      <c r="K130" s="18"/>
      <c r="L130" s="18"/>
      <c r="M130" s="35"/>
      <c r="N130" s="35"/>
      <c r="O130" s="147"/>
      <c r="P130" s="18"/>
      <c r="Q130" s="18"/>
      <c r="R130" s="18"/>
      <c r="S130" s="18"/>
      <c r="T130" s="24"/>
      <c r="U130" s="18">
        <f>U129*U127</f>
        <v>50.005526733486896</v>
      </c>
      <c r="V130" s="18">
        <f t="shared" ref="V130:X130" si="71">V129*V127</f>
        <v>50.397596379263646</v>
      </c>
      <c r="W130" s="18">
        <f t="shared" si="71"/>
        <v>50.791555829075151</v>
      </c>
      <c r="X130" s="24">
        <f t="shared" si="71"/>
        <v>51.196351980235626</v>
      </c>
    </row>
    <row r="131" spans="2:24" x14ac:dyDescent="0.25">
      <c r="B131" s="404" t="s">
        <v>519</v>
      </c>
      <c r="C131" s="18"/>
      <c r="D131" s="18"/>
      <c r="E131" s="18"/>
      <c r="F131" s="18"/>
      <c r="G131" s="18"/>
      <c r="H131" s="18"/>
      <c r="I131" s="18"/>
      <c r="J131" s="18"/>
      <c r="K131" s="18"/>
      <c r="L131" s="18"/>
      <c r="M131" s="35"/>
      <c r="N131" s="35"/>
      <c r="O131" s="147"/>
      <c r="P131" s="18"/>
      <c r="Q131" s="18"/>
      <c r="R131" s="18"/>
      <c r="S131" s="18"/>
      <c r="T131" s="24"/>
      <c r="U131" s="18">
        <f>U130-U128</f>
        <v>15.791218968469543</v>
      </c>
      <c r="V131" s="18">
        <f t="shared" ref="V131:X131" si="72">V130-V128</f>
        <v>15.915030435556936</v>
      </c>
      <c r="W131" s="18">
        <f t="shared" si="72"/>
        <v>16.039438682865836</v>
      </c>
      <c r="X131" s="24">
        <f t="shared" si="72"/>
        <v>16.167269046390196</v>
      </c>
    </row>
    <row r="132" spans="2:24" x14ac:dyDescent="0.25">
      <c r="B132" s="404" t="s">
        <v>520</v>
      </c>
      <c r="C132" s="18"/>
      <c r="D132" s="18"/>
      <c r="E132" s="18"/>
      <c r="F132" s="18"/>
      <c r="G132" s="18"/>
      <c r="H132" s="18"/>
      <c r="I132" s="18"/>
      <c r="J132" s="18"/>
      <c r="K132" s="18"/>
      <c r="L132" s="18"/>
      <c r="M132" s="35"/>
      <c r="N132" s="35"/>
      <c r="O132" s="147"/>
      <c r="P132" s="18"/>
      <c r="Q132" s="18"/>
      <c r="R132" s="18"/>
      <c r="S132" s="18"/>
      <c r="T132" s="24"/>
      <c r="U132" s="492">
        <f>U87</f>
        <v>162.70189092692155</v>
      </c>
      <c r="V132" s="492">
        <f t="shared" ref="V132:X132" si="73">V87</f>
        <v>163.67873187071234</v>
      </c>
      <c r="W132" s="492">
        <f t="shared" si="73"/>
        <v>164.66272998399921</v>
      </c>
      <c r="X132" s="25">
        <f t="shared" si="73"/>
        <v>165.67532510186982</v>
      </c>
    </row>
    <row r="133" spans="2:24" x14ac:dyDescent="0.25">
      <c r="B133" s="404" t="s">
        <v>521</v>
      </c>
      <c r="C133" s="18"/>
      <c r="D133" s="18"/>
      <c r="E133" s="18"/>
      <c r="F133" s="18"/>
      <c r="G133" s="18"/>
      <c r="H133" s="18"/>
      <c r="I133" s="18"/>
      <c r="J133" s="18"/>
      <c r="K133" s="18"/>
      <c r="L133" s="18"/>
      <c r="M133" s="35"/>
      <c r="N133" s="35"/>
      <c r="O133" s="147"/>
      <c r="P133" s="18"/>
      <c r="Q133" s="18"/>
      <c r="R133" s="18"/>
      <c r="S133" s="18"/>
      <c r="T133" s="24"/>
      <c r="U133" s="18">
        <f>U132*U129</f>
        <v>30.913359276115095</v>
      </c>
      <c r="V133" s="18">
        <f t="shared" ref="V133:X133" si="74">V132*V129</f>
        <v>31.098959055435344</v>
      </c>
      <c r="W133" s="18">
        <f t="shared" si="74"/>
        <v>31.28591869695985</v>
      </c>
      <c r="X133" s="24">
        <f t="shared" si="74"/>
        <v>31.478311769355265</v>
      </c>
    </row>
    <row r="134" spans="2:24" x14ac:dyDescent="0.25">
      <c r="B134" s="404" t="s">
        <v>522</v>
      </c>
      <c r="C134" s="18"/>
      <c r="D134" s="18"/>
      <c r="E134" s="18"/>
      <c r="F134" s="18"/>
      <c r="G134" s="18"/>
      <c r="H134" s="18"/>
      <c r="I134" s="18"/>
      <c r="J134" s="18"/>
      <c r="K134" s="18"/>
      <c r="L134" s="18"/>
      <c r="M134" s="35"/>
      <c r="N134" s="35"/>
      <c r="O134" s="147"/>
      <c r="P134" s="18"/>
      <c r="Q134" s="18"/>
      <c r="R134" s="18"/>
      <c r="S134" s="18"/>
      <c r="T134" s="24"/>
      <c r="U134" s="588">
        <f>U131/U133</f>
        <v>0.51082183684483862</v>
      </c>
      <c r="V134" s="588">
        <f t="shared" ref="V134:X134" si="75">V131/V133</f>
        <v>0.51175444191516672</v>
      </c>
      <c r="W134" s="588">
        <f t="shared" si="75"/>
        <v>0.51267277263698952</v>
      </c>
      <c r="X134" s="103">
        <f t="shared" si="75"/>
        <v>0.51360025800777975</v>
      </c>
    </row>
    <row r="135" spans="2:24" x14ac:dyDescent="0.25">
      <c r="B135" s="404" t="s">
        <v>523</v>
      </c>
      <c r="C135" s="18"/>
      <c r="D135" s="18"/>
      <c r="E135" s="18"/>
      <c r="F135" s="18"/>
      <c r="G135" s="18"/>
      <c r="H135" s="18"/>
      <c r="I135" s="18"/>
      <c r="J135" s="18"/>
      <c r="K135" s="18"/>
      <c r="L135" s="18"/>
      <c r="M135" s="35"/>
      <c r="N135" s="35"/>
      <c r="O135" s="147"/>
      <c r="P135" s="18"/>
      <c r="Q135" s="18"/>
      <c r="R135" s="18"/>
      <c r="S135" s="18"/>
      <c r="T135" s="24"/>
      <c r="U135" s="18">
        <f>U131</f>
        <v>15.791218968469543</v>
      </c>
      <c r="V135" s="18">
        <f t="shared" ref="V135:X135" si="76">V131</f>
        <v>15.915030435556936</v>
      </c>
      <c r="W135" s="18">
        <f t="shared" si="76"/>
        <v>16.039438682865836</v>
      </c>
      <c r="X135" s="24">
        <f t="shared" si="76"/>
        <v>16.167269046390196</v>
      </c>
    </row>
    <row r="136" spans="2:24" x14ac:dyDescent="0.25">
      <c r="B136" s="404" t="s">
        <v>524</v>
      </c>
      <c r="C136" s="18"/>
      <c r="D136" s="18"/>
      <c r="E136" s="18"/>
      <c r="F136" s="18"/>
      <c r="G136" s="18"/>
      <c r="H136" s="18"/>
      <c r="I136" s="18"/>
      <c r="J136" s="18"/>
      <c r="K136" s="18"/>
      <c r="L136" s="18"/>
      <c r="M136" s="35"/>
      <c r="N136" s="35"/>
      <c r="O136" s="147"/>
      <c r="P136" s="18"/>
      <c r="Q136" s="18"/>
      <c r="R136" s="18"/>
      <c r="S136" s="18"/>
      <c r="T136" s="24"/>
      <c r="U136" s="18"/>
      <c r="V136" s="18"/>
      <c r="W136" s="18"/>
      <c r="X136" s="24"/>
    </row>
    <row r="137" spans="2:24" x14ac:dyDescent="0.25">
      <c r="B137" s="212" t="s">
        <v>526</v>
      </c>
      <c r="C137" s="18"/>
      <c r="D137" s="18"/>
      <c r="E137" s="18"/>
      <c r="F137" s="18"/>
      <c r="G137" s="18"/>
      <c r="H137" s="18"/>
      <c r="I137" s="18"/>
      <c r="J137" s="18"/>
      <c r="K137" s="18"/>
      <c r="L137" s="18"/>
      <c r="M137" s="35"/>
      <c r="N137" s="35"/>
      <c r="O137" s="147"/>
      <c r="P137" s="18"/>
      <c r="Q137" s="18"/>
      <c r="R137" s="18"/>
      <c r="S137" s="18"/>
      <c r="T137" s="24"/>
      <c r="U137" s="18">
        <f>-U135</f>
        <v>-15.791218968469543</v>
      </c>
      <c r="V137" s="18">
        <f t="shared" ref="V137:X137" si="77">-V135</f>
        <v>-15.915030435556936</v>
      </c>
      <c r="W137" s="18">
        <f t="shared" si="77"/>
        <v>-16.039438682865836</v>
      </c>
      <c r="X137" s="24">
        <f t="shared" si="77"/>
        <v>-16.167269046390196</v>
      </c>
    </row>
    <row r="138" spans="2:24" ht="11.25" customHeight="1" x14ac:dyDescent="0.25">
      <c r="B138" s="21"/>
      <c r="C138" s="21"/>
      <c r="D138" s="21"/>
      <c r="E138" s="21"/>
      <c r="F138" s="21"/>
      <c r="G138" s="21"/>
      <c r="H138" s="21"/>
      <c r="I138" s="21"/>
      <c r="J138" s="21"/>
      <c r="K138" s="21"/>
      <c r="L138" s="21"/>
      <c r="M138" s="21"/>
      <c r="N138" s="21"/>
      <c r="O138" s="148"/>
      <c r="P138" s="21"/>
      <c r="Q138" s="21"/>
      <c r="R138" s="21"/>
      <c r="S138" s="21"/>
      <c r="T138" s="189"/>
      <c r="U138" s="21"/>
      <c r="V138" s="21"/>
      <c r="W138" s="21"/>
      <c r="X138" s="189"/>
    </row>
    <row r="139" spans="2:24" x14ac:dyDescent="0.25">
      <c r="B139" s="586" t="s">
        <v>511</v>
      </c>
      <c r="C139" s="21"/>
      <c r="D139" s="21"/>
      <c r="E139" s="21"/>
      <c r="F139" s="21"/>
      <c r="G139" s="21"/>
      <c r="H139" s="21"/>
      <c r="I139" s="21"/>
      <c r="J139" s="21"/>
      <c r="K139" s="21"/>
      <c r="L139" s="21"/>
      <c r="M139" s="21"/>
      <c r="N139" s="21"/>
      <c r="O139" s="148"/>
      <c r="P139" s="77">
        <f>P124</f>
        <v>-30.206846376958822</v>
      </c>
      <c r="Q139" s="37">
        <f t="shared" ref="Q139:T139" si="78">Q124</f>
        <v>-30.510223000366409</v>
      </c>
      <c r="R139" s="37">
        <f t="shared" si="78"/>
        <v>-30.849754428635976</v>
      </c>
      <c r="S139" s="37">
        <f t="shared" si="78"/>
        <v>-31.176281993624087</v>
      </c>
      <c r="T139" s="38">
        <f t="shared" si="78"/>
        <v>-31.376315424087352</v>
      </c>
      <c r="U139" s="37">
        <f>U137</f>
        <v>-15.791218968469543</v>
      </c>
      <c r="V139" s="37">
        <f t="shared" ref="V139:X139" si="79">V137</f>
        <v>-15.915030435556936</v>
      </c>
      <c r="W139" s="37">
        <f t="shared" si="79"/>
        <v>-16.039438682865836</v>
      </c>
      <c r="X139" s="38">
        <f t="shared" si="79"/>
        <v>-16.167269046390196</v>
      </c>
    </row>
    <row r="140" spans="2:24" x14ac:dyDescent="0.25">
      <c r="N140" s="5"/>
      <c r="O140" s="5"/>
      <c r="T140" s="5"/>
      <c r="X140" s="5"/>
    </row>
    <row r="141" spans="2:24" x14ac:dyDescent="0.25">
      <c r="B141" s="395" t="s">
        <v>527</v>
      </c>
      <c r="O141" s="234"/>
      <c r="P141" s="7"/>
      <c r="Q141" s="7"/>
      <c r="R141" s="7"/>
      <c r="S141" s="7"/>
      <c r="T141" s="8"/>
      <c r="X141" s="8"/>
    </row>
    <row r="142" spans="2:24" x14ac:dyDescent="0.25">
      <c r="B142" s="577" t="s">
        <v>528</v>
      </c>
      <c r="O142" s="234"/>
      <c r="P142" s="492">
        <f>P89/2</f>
        <v>15.888720431768489</v>
      </c>
      <c r="Q142" s="492">
        <f t="shared" ref="Q142:T142" si="80">Q89/2</f>
        <v>15.62414884374523</v>
      </c>
      <c r="R142" s="492">
        <f t="shared" si="80"/>
        <v>15.857272324603537</v>
      </c>
      <c r="S142" s="492">
        <f t="shared" si="80"/>
        <v>16.044882694836843</v>
      </c>
      <c r="T142" s="25">
        <f t="shared" si="80"/>
        <v>16.312141008663897</v>
      </c>
      <c r="X142" s="8"/>
    </row>
    <row r="143" spans="2:24" x14ac:dyDescent="0.25">
      <c r="B143" s="35" t="s">
        <v>512</v>
      </c>
      <c r="C143" s="18"/>
      <c r="D143" s="18"/>
      <c r="E143" s="18"/>
      <c r="F143" s="18"/>
      <c r="G143" s="18"/>
      <c r="H143" s="18"/>
      <c r="I143" s="18"/>
      <c r="J143" s="18"/>
      <c r="K143" s="18"/>
      <c r="L143" s="18"/>
      <c r="M143" s="35"/>
      <c r="N143" s="35"/>
      <c r="O143" s="147"/>
      <c r="P143" s="40">
        <f>P87-P87*19%</f>
        <v>128.77655560703494</v>
      </c>
      <c r="Q143" s="40">
        <f t="shared" ref="Q143:T143" si="81">Q87-Q87*19%</f>
        <v>128.71500328279572</v>
      </c>
      <c r="R143" s="40">
        <f t="shared" si="81"/>
        <v>129.47306262795405</v>
      </c>
      <c r="S143" s="40">
        <f t="shared" si="81"/>
        <v>130.16901244760578</v>
      </c>
      <c r="T143" s="25">
        <f t="shared" si="81"/>
        <v>131.00420357479771</v>
      </c>
      <c r="U143" s="18"/>
      <c r="V143" s="18"/>
      <c r="W143" s="18"/>
      <c r="X143" s="24"/>
    </row>
    <row r="144" spans="2:24" x14ac:dyDescent="0.25">
      <c r="B144" s="212" t="s">
        <v>511</v>
      </c>
      <c r="C144" s="18"/>
      <c r="D144" s="18"/>
      <c r="E144" s="18"/>
      <c r="F144" s="18"/>
      <c r="G144" s="18"/>
      <c r="H144" s="18"/>
      <c r="I144" s="18"/>
      <c r="J144" s="18"/>
      <c r="K144" s="18"/>
      <c r="L144" s="18"/>
      <c r="M144" s="35"/>
      <c r="N144" s="35"/>
      <c r="O144" s="147"/>
      <c r="P144" s="596">
        <f>-P142</f>
        <v>-15.888720431768489</v>
      </c>
      <c r="Q144" s="596">
        <f t="shared" ref="Q144:T144" si="82">-Q142</f>
        <v>-15.62414884374523</v>
      </c>
      <c r="R144" s="596">
        <f t="shared" si="82"/>
        <v>-15.857272324603537</v>
      </c>
      <c r="S144" s="596">
        <f t="shared" si="82"/>
        <v>-16.044882694836843</v>
      </c>
      <c r="T144" s="597">
        <f t="shared" si="82"/>
        <v>-16.312141008663897</v>
      </c>
      <c r="U144" s="18"/>
      <c r="V144" s="18"/>
      <c r="W144" s="18"/>
      <c r="X144" s="24"/>
    </row>
    <row r="145" spans="2:25" x14ac:dyDescent="0.25">
      <c r="B145" s="35" t="s">
        <v>513</v>
      </c>
      <c r="C145" s="18"/>
      <c r="D145" s="18"/>
      <c r="E145" s="18"/>
      <c r="F145" s="18"/>
      <c r="G145" s="18"/>
      <c r="H145" s="18"/>
      <c r="I145" s="18"/>
      <c r="J145" s="18"/>
      <c r="K145" s="18"/>
      <c r="L145" s="18"/>
      <c r="M145" s="35"/>
      <c r="N145" s="35"/>
      <c r="O145" s="147"/>
      <c r="P145" s="492">
        <f>ABS(P144)</f>
        <v>15.888720431768489</v>
      </c>
      <c r="Q145" s="492">
        <f t="shared" ref="Q145" si="83">ABS(Q144)</f>
        <v>15.62414884374523</v>
      </c>
      <c r="R145" s="492">
        <f t="shared" ref="R145" si="84">ABS(R144)</f>
        <v>15.857272324603537</v>
      </c>
      <c r="S145" s="492">
        <f t="shared" ref="S145" si="85">ABS(S144)</f>
        <v>16.044882694836843</v>
      </c>
      <c r="T145" s="25">
        <f t="shared" ref="T145" si="86">ABS(T144)</f>
        <v>16.312141008663897</v>
      </c>
      <c r="U145" s="18"/>
      <c r="V145" s="18"/>
      <c r="W145" s="18"/>
      <c r="X145" s="24"/>
    </row>
    <row r="146" spans="2:25" x14ac:dyDescent="0.25">
      <c r="B146" s="583" t="s">
        <v>537</v>
      </c>
      <c r="C146" s="18"/>
      <c r="D146" s="18"/>
      <c r="E146" s="18"/>
      <c r="F146" s="18"/>
      <c r="G146" s="18"/>
      <c r="H146" s="18"/>
      <c r="I146" s="18"/>
      <c r="J146" s="18"/>
      <c r="K146" s="18"/>
      <c r="L146" s="18"/>
      <c r="M146" s="35"/>
      <c r="N146" s="35"/>
      <c r="O146" s="147"/>
      <c r="P146" s="18"/>
      <c r="Q146" s="18"/>
      <c r="R146" s="18"/>
      <c r="S146" s="18"/>
      <c r="T146" s="598"/>
      <c r="U146" s="18"/>
      <c r="V146" s="18"/>
      <c r="W146" s="18"/>
      <c r="X146" s="24"/>
    </row>
    <row r="147" spans="2:25" x14ac:dyDescent="0.25">
      <c r="B147" s="404" t="s">
        <v>516</v>
      </c>
      <c r="C147" s="18"/>
      <c r="D147" s="18"/>
      <c r="E147" s="18"/>
      <c r="F147" s="18"/>
      <c r="G147" s="18"/>
      <c r="H147" s="18"/>
      <c r="I147" s="18"/>
      <c r="J147" s="18"/>
      <c r="K147" s="18"/>
      <c r="L147" s="18"/>
      <c r="M147" s="35"/>
      <c r="N147" s="35"/>
      <c r="O147" s="147"/>
      <c r="P147" s="492"/>
      <c r="Q147" s="492"/>
      <c r="R147" s="492"/>
      <c r="S147" s="492"/>
      <c r="T147" s="25"/>
      <c r="U147" s="492">
        <f t="shared" ref="U147:X147" si="87">U107</f>
        <v>263.18698280782576</v>
      </c>
      <c r="V147" s="492">
        <f t="shared" si="87"/>
        <v>265.25050725928236</v>
      </c>
      <c r="W147" s="492">
        <f t="shared" si="87"/>
        <v>267.32397804776394</v>
      </c>
      <c r="X147" s="25">
        <f t="shared" si="87"/>
        <v>269.45448410650329</v>
      </c>
      <c r="Y147" s="47"/>
    </row>
    <row r="148" spans="2:25" x14ac:dyDescent="0.25">
      <c r="B148" s="404" t="s">
        <v>529</v>
      </c>
      <c r="C148" s="18"/>
      <c r="D148" s="18"/>
      <c r="E148" s="18"/>
      <c r="F148" s="18"/>
      <c r="G148" s="18"/>
      <c r="H148" s="18"/>
      <c r="I148" s="18"/>
      <c r="J148" s="18"/>
      <c r="K148" s="18"/>
      <c r="L148" s="18"/>
      <c r="M148" s="35"/>
      <c r="N148" s="35"/>
      <c r="O148" s="147"/>
      <c r="P148" s="48"/>
      <c r="Q148" s="48"/>
      <c r="R148" s="48"/>
      <c r="S148" s="48"/>
      <c r="T148" s="150"/>
      <c r="U148" s="48">
        <f t="shared" ref="U148:X148" si="88">U$147*70%</f>
        <v>184.23088796547802</v>
      </c>
      <c r="V148" s="48">
        <f t="shared" si="88"/>
        <v>185.67535508149763</v>
      </c>
      <c r="W148" s="48">
        <f t="shared" si="88"/>
        <v>187.12678463343474</v>
      </c>
      <c r="X148" s="150">
        <f t="shared" si="88"/>
        <v>188.6181388745523</v>
      </c>
    </row>
    <row r="149" spans="2:25" x14ac:dyDescent="0.25">
      <c r="B149" s="404" t="s">
        <v>530</v>
      </c>
      <c r="C149" s="18"/>
      <c r="D149" s="18"/>
      <c r="E149" s="18"/>
      <c r="F149" s="18"/>
      <c r="G149" s="18"/>
      <c r="H149" s="18"/>
      <c r="I149" s="18"/>
      <c r="J149" s="18"/>
      <c r="K149" s="18"/>
      <c r="L149" s="18"/>
      <c r="M149" s="35"/>
      <c r="N149" s="35"/>
      <c r="O149" s="147"/>
      <c r="P149" s="48"/>
      <c r="Q149" s="48"/>
      <c r="R149" s="48"/>
      <c r="S149" s="48"/>
      <c r="T149" s="150"/>
      <c r="U149" s="48">
        <f t="shared" ref="U149:X149" si="89">U$147*13%</f>
        <v>34.214307765017352</v>
      </c>
      <c r="V149" s="48">
        <f t="shared" si="89"/>
        <v>34.48256594370671</v>
      </c>
      <c r="W149" s="48">
        <f t="shared" si="89"/>
        <v>34.752117146209315</v>
      </c>
      <c r="X149" s="150">
        <f t="shared" si="89"/>
        <v>35.02908293384543</v>
      </c>
    </row>
    <row r="150" spans="2:25" x14ac:dyDescent="0.25">
      <c r="B150" s="404" t="s">
        <v>530</v>
      </c>
      <c r="C150" s="18"/>
      <c r="D150" s="18"/>
      <c r="E150" s="18"/>
      <c r="F150" s="18"/>
      <c r="G150" s="18"/>
      <c r="H150" s="18"/>
      <c r="I150" s="18"/>
      <c r="J150" s="18"/>
      <c r="K150" s="18"/>
      <c r="L150" s="18"/>
      <c r="M150" s="35"/>
      <c r="N150" s="35"/>
      <c r="O150" s="147"/>
      <c r="P150" s="48"/>
      <c r="Q150" s="48"/>
      <c r="R150" s="48"/>
      <c r="S150" s="48"/>
      <c r="T150" s="150"/>
      <c r="U150" s="48">
        <f t="shared" ref="U150:X150" si="90">U$147*17%</f>
        <v>44.741787077330379</v>
      </c>
      <c r="V150" s="48">
        <f t="shared" si="90"/>
        <v>45.092586234078006</v>
      </c>
      <c r="W150" s="48">
        <f t="shared" si="90"/>
        <v>45.445076268119877</v>
      </c>
      <c r="X150" s="150">
        <f t="shared" si="90"/>
        <v>45.807262298105563</v>
      </c>
    </row>
    <row r="151" spans="2:25" x14ac:dyDescent="0.25">
      <c r="B151" s="404" t="s">
        <v>538</v>
      </c>
      <c r="C151" s="18"/>
      <c r="D151" s="18"/>
      <c r="E151" s="18"/>
      <c r="F151" s="18"/>
      <c r="G151" s="18"/>
      <c r="H151" s="18"/>
      <c r="I151" s="18"/>
      <c r="J151" s="18"/>
      <c r="K151" s="18"/>
      <c r="L151" s="18"/>
      <c r="M151" s="35"/>
      <c r="N151" s="35"/>
      <c r="O151" s="147"/>
      <c r="P151" s="584"/>
      <c r="Q151" s="584"/>
      <c r="R151" s="584"/>
      <c r="S151" s="584"/>
      <c r="T151" s="587"/>
      <c r="U151" s="584">
        <f t="shared" ref="U151:X151" si="91">U83</f>
        <v>0.70657202638603034</v>
      </c>
      <c r="V151" s="584">
        <f t="shared" si="91"/>
        <v>0.70772964447976272</v>
      </c>
      <c r="W151" s="584">
        <f t="shared" si="91"/>
        <v>0.70889465979988575</v>
      </c>
      <c r="X151" s="587">
        <f t="shared" si="91"/>
        <v>0.70993768191231821</v>
      </c>
    </row>
    <row r="152" spans="2:25" x14ac:dyDescent="0.25">
      <c r="B152" s="404" t="s">
        <v>539</v>
      </c>
      <c r="C152" s="18"/>
      <c r="D152" s="18"/>
      <c r="E152" s="18"/>
      <c r="F152" s="18"/>
      <c r="G152" s="18"/>
      <c r="H152" s="18"/>
      <c r="I152" s="18"/>
      <c r="J152" s="18"/>
      <c r="K152" s="18"/>
      <c r="L152" s="18"/>
      <c r="M152" s="35"/>
      <c r="N152" s="35"/>
      <c r="O152" s="147"/>
      <c r="P152" s="584"/>
      <c r="Q152" s="584"/>
      <c r="R152" s="584"/>
      <c r="S152" s="584"/>
      <c r="T152" s="587"/>
      <c r="U152" s="584">
        <f t="shared" ref="U152:X153" si="92">U84</f>
        <v>0.18738070751350475</v>
      </c>
      <c r="V152" s="584">
        <f t="shared" si="92"/>
        <v>0.18840767007372</v>
      </c>
      <c r="W152" s="584">
        <f t="shared" si="92"/>
        <v>0.18939729216582216</v>
      </c>
      <c r="X152" s="587">
        <f t="shared" si="92"/>
        <v>0.1904968197106128</v>
      </c>
    </row>
    <row r="153" spans="2:25" x14ac:dyDescent="0.25">
      <c r="B153" s="404" t="s">
        <v>540</v>
      </c>
      <c r="C153" s="18"/>
      <c r="D153" s="18"/>
      <c r="E153" s="18"/>
      <c r="F153" s="18"/>
      <c r="G153" s="18"/>
      <c r="H153" s="18"/>
      <c r="I153" s="18"/>
      <c r="J153" s="18"/>
      <c r="K153" s="18"/>
      <c r="L153" s="18"/>
      <c r="M153" s="35"/>
      <c r="N153" s="35"/>
      <c r="O153" s="147"/>
      <c r="P153" s="584"/>
      <c r="Q153" s="584"/>
      <c r="R153" s="584"/>
      <c r="S153" s="584"/>
      <c r="T153" s="587"/>
      <c r="U153" s="584">
        <f t="shared" si="92"/>
        <v>0.10604726610046498</v>
      </c>
      <c r="V153" s="584">
        <f t="shared" si="92"/>
        <v>0.10386268544651732</v>
      </c>
      <c r="W153" s="584">
        <f t="shared" si="92"/>
        <v>0.10170804803429201</v>
      </c>
      <c r="X153" s="587">
        <f t="shared" si="92"/>
        <v>9.9565498377068948E-2</v>
      </c>
    </row>
    <row r="154" spans="2:25" x14ac:dyDescent="0.25">
      <c r="B154" s="404" t="s">
        <v>531</v>
      </c>
      <c r="C154" s="18"/>
      <c r="D154" s="18"/>
      <c r="E154" s="18"/>
      <c r="F154" s="18"/>
      <c r="G154" s="18"/>
      <c r="H154" s="18"/>
      <c r="I154" s="18"/>
      <c r="J154" s="18"/>
      <c r="K154" s="18"/>
      <c r="L154" s="18"/>
      <c r="M154" s="35"/>
      <c r="N154" s="35"/>
      <c r="O154" s="147"/>
      <c r="P154" s="48"/>
      <c r="Q154" s="48"/>
      <c r="R154" s="48"/>
      <c r="S154" s="48"/>
      <c r="T154" s="150"/>
      <c r="U154" s="48">
        <f t="shared" ref="U154:X154" si="93">U147*U151</f>
        <v>185.96055976095079</v>
      </c>
      <c r="V154" s="48">
        <f t="shared" si="93"/>
        <v>187.72564720068863</v>
      </c>
      <c r="W154" s="48">
        <f t="shared" si="93"/>
        <v>189.50454047452175</v>
      </c>
      <c r="X154" s="150">
        <f t="shared" si="93"/>
        <v>191.29589182745053</v>
      </c>
    </row>
    <row r="155" spans="2:25" x14ac:dyDescent="0.25">
      <c r="B155" s="404" t="s">
        <v>532</v>
      </c>
      <c r="C155" s="18"/>
      <c r="D155" s="18"/>
      <c r="E155" s="18"/>
      <c r="F155" s="18"/>
      <c r="G155" s="18"/>
      <c r="H155" s="18"/>
      <c r="I155" s="18"/>
      <c r="J155" s="18"/>
      <c r="K155" s="18"/>
      <c r="L155" s="18"/>
      <c r="M155" s="35"/>
      <c r="N155" s="35"/>
      <c r="O155" s="147"/>
      <c r="P155" s="585"/>
      <c r="Q155" s="48"/>
      <c r="R155" s="48"/>
      <c r="S155" s="48"/>
      <c r="T155" s="150"/>
      <c r="U155" s="48">
        <f t="shared" ref="U155:X155" si="94">U147*U152</f>
        <v>49.316163046874998</v>
      </c>
      <c r="V155" s="48">
        <f t="shared" si="94"/>
        <v>49.975230058593745</v>
      </c>
      <c r="W155" s="48">
        <f t="shared" si="94"/>
        <v>50.630437573242176</v>
      </c>
      <c r="X155" s="150">
        <f t="shared" si="94"/>
        <v>51.330222279052741</v>
      </c>
    </row>
    <row r="156" spans="2:25" x14ac:dyDescent="0.25">
      <c r="B156" s="404" t="s">
        <v>533</v>
      </c>
      <c r="C156" s="18"/>
      <c r="D156" s="18"/>
      <c r="E156" s="18"/>
      <c r="F156" s="18"/>
      <c r="G156" s="18"/>
      <c r="H156" s="18"/>
      <c r="I156" s="18"/>
      <c r="J156" s="18"/>
      <c r="K156" s="18"/>
      <c r="L156" s="18"/>
      <c r="M156" s="35"/>
      <c r="N156" s="35"/>
      <c r="O156" s="147"/>
      <c r="P156" s="48"/>
      <c r="Q156" s="48"/>
      <c r="R156" s="48"/>
      <c r="S156" s="48"/>
      <c r="T156" s="150"/>
      <c r="U156" s="48">
        <f t="shared" ref="U156:X156" si="95">U147*U153</f>
        <v>27.910260000000001</v>
      </c>
      <c r="V156" s="48">
        <f t="shared" si="95"/>
        <v>27.549630000000004</v>
      </c>
      <c r="W156" s="48">
        <f t="shared" si="95"/>
        <v>27.188999999999997</v>
      </c>
      <c r="X156" s="150">
        <f t="shared" si="95"/>
        <v>26.828370000000003</v>
      </c>
    </row>
    <row r="157" spans="2:25" x14ac:dyDescent="0.25">
      <c r="B157" s="404" t="s">
        <v>534</v>
      </c>
      <c r="C157" s="18"/>
      <c r="D157" s="18"/>
      <c r="E157" s="18"/>
      <c r="F157" s="18"/>
      <c r="G157" s="18"/>
      <c r="H157" s="18"/>
      <c r="I157" s="18"/>
      <c r="J157" s="18"/>
      <c r="K157" s="18"/>
      <c r="L157" s="18"/>
      <c r="M157" s="35"/>
      <c r="N157" s="35"/>
      <c r="O157" s="147"/>
      <c r="P157" s="48"/>
      <c r="Q157" s="48"/>
      <c r="R157" s="48"/>
      <c r="S157" s="48"/>
      <c r="T157" s="150"/>
      <c r="U157" s="48">
        <f t="shared" ref="U157:X157" si="96">U154-U148</f>
        <v>1.7296717954727683</v>
      </c>
      <c r="V157" s="48">
        <f t="shared" si="96"/>
        <v>2.0502921191909991</v>
      </c>
      <c r="W157" s="48">
        <f t="shared" si="96"/>
        <v>2.3777558410870085</v>
      </c>
      <c r="X157" s="150">
        <f t="shared" si="96"/>
        <v>2.6777529528982313</v>
      </c>
    </row>
    <row r="158" spans="2:25" x14ac:dyDescent="0.25">
      <c r="B158" s="404" t="s">
        <v>535</v>
      </c>
      <c r="C158" s="18"/>
      <c r="D158" s="18"/>
      <c r="E158" s="18"/>
      <c r="F158" s="18"/>
      <c r="G158" s="18"/>
      <c r="H158" s="18"/>
      <c r="I158" s="18"/>
      <c r="J158" s="18"/>
      <c r="K158" s="18"/>
      <c r="L158" s="18"/>
      <c r="M158" s="35"/>
      <c r="N158" s="35"/>
      <c r="O158" s="147"/>
      <c r="P158" s="48"/>
      <c r="Q158" s="48"/>
      <c r="R158" s="48"/>
      <c r="S158" s="48"/>
      <c r="T158" s="150"/>
      <c r="U158" s="48">
        <f t="shared" ref="U158:X158" si="97">U155-U149</f>
        <v>15.101855281857645</v>
      </c>
      <c r="V158" s="48">
        <f t="shared" si="97"/>
        <v>15.492664114887035</v>
      </c>
      <c r="W158" s="48">
        <f t="shared" si="97"/>
        <v>15.878320427032861</v>
      </c>
      <c r="X158" s="150">
        <f t="shared" si="97"/>
        <v>16.301139345207311</v>
      </c>
    </row>
    <row r="159" spans="2:25" x14ac:dyDescent="0.25">
      <c r="B159" s="404" t="s">
        <v>536</v>
      </c>
      <c r="C159" s="18"/>
      <c r="D159" s="18"/>
      <c r="E159" s="18"/>
      <c r="F159" s="18"/>
      <c r="G159" s="18"/>
      <c r="H159" s="18"/>
      <c r="I159" s="18"/>
      <c r="J159" s="18"/>
      <c r="K159" s="18"/>
      <c r="L159" s="18"/>
      <c r="M159" s="35"/>
      <c r="N159" s="35"/>
      <c r="O159" s="147"/>
      <c r="P159" s="48"/>
      <c r="Q159" s="48"/>
      <c r="R159" s="48"/>
      <c r="S159" s="48"/>
      <c r="T159" s="150"/>
      <c r="U159" s="591">
        <f>U156-U150</f>
        <v>-16.831527077330378</v>
      </c>
      <c r="V159" s="591">
        <f t="shared" ref="V159:X159" si="98">V156-V150</f>
        <v>-17.542956234078002</v>
      </c>
      <c r="W159" s="591">
        <f t="shared" si="98"/>
        <v>-18.25607626811988</v>
      </c>
      <c r="X159" s="592">
        <f t="shared" si="98"/>
        <v>-18.97889229810556</v>
      </c>
    </row>
    <row r="160" spans="2:25" x14ac:dyDescent="0.25">
      <c r="B160" s="404" t="s">
        <v>520</v>
      </c>
      <c r="C160" s="18"/>
      <c r="D160" s="18"/>
      <c r="E160" s="18"/>
      <c r="F160" s="18"/>
      <c r="G160" s="18"/>
      <c r="H160" s="18"/>
      <c r="I160" s="18"/>
      <c r="J160" s="18"/>
      <c r="K160" s="18"/>
      <c r="L160" s="18"/>
      <c r="M160" s="35"/>
      <c r="N160" s="35"/>
      <c r="O160" s="147"/>
      <c r="P160" s="18"/>
      <c r="Q160" s="18"/>
      <c r="R160" s="18"/>
      <c r="S160" s="18"/>
      <c r="T160" s="24"/>
      <c r="U160" s="492">
        <f>U87</f>
        <v>162.70189092692155</v>
      </c>
      <c r="V160" s="492">
        <f t="shared" ref="V160:X160" si="99">V87</f>
        <v>163.67873187071234</v>
      </c>
      <c r="W160" s="492">
        <f t="shared" si="99"/>
        <v>164.66272998399921</v>
      </c>
      <c r="X160" s="25">
        <f t="shared" si="99"/>
        <v>165.67532510186982</v>
      </c>
    </row>
    <row r="161" spans="2:24" x14ac:dyDescent="0.25">
      <c r="B161" s="404"/>
      <c r="C161" s="18"/>
      <c r="D161" s="18"/>
      <c r="E161" s="18"/>
      <c r="F161" s="18"/>
      <c r="G161" s="18"/>
      <c r="H161" s="18"/>
      <c r="I161" s="18"/>
      <c r="J161" s="18"/>
      <c r="K161" s="18"/>
      <c r="L161" s="18"/>
      <c r="M161" s="35"/>
      <c r="N161" s="35"/>
      <c r="O161" s="147"/>
      <c r="P161" s="18"/>
      <c r="Q161" s="18"/>
      <c r="R161" s="18"/>
      <c r="S161" s="18"/>
      <c r="T161" s="24"/>
      <c r="U161" s="18"/>
      <c r="V161" s="18"/>
      <c r="W161" s="18"/>
      <c r="X161" s="24"/>
    </row>
    <row r="162" spans="2:24" x14ac:dyDescent="0.25">
      <c r="B162" s="212" t="s">
        <v>526</v>
      </c>
      <c r="C162" s="18"/>
      <c r="D162" s="18"/>
      <c r="E162" s="18"/>
      <c r="F162" s="18"/>
      <c r="G162" s="18"/>
      <c r="H162" s="18"/>
      <c r="I162" s="18"/>
      <c r="J162" s="18"/>
      <c r="K162" s="18"/>
      <c r="L162" s="18"/>
      <c r="M162" s="35"/>
      <c r="N162" s="35"/>
      <c r="O162" s="147"/>
      <c r="P162" s="18"/>
      <c r="Q162" s="18"/>
      <c r="R162" s="18"/>
      <c r="S162" s="18"/>
      <c r="T162" s="24"/>
      <c r="U162" s="48">
        <f>U159</f>
        <v>-16.831527077330378</v>
      </c>
      <c r="V162" s="48">
        <f t="shared" ref="V162:X162" si="100">V159</f>
        <v>-17.542956234078002</v>
      </c>
      <c r="W162" s="48">
        <f t="shared" si="100"/>
        <v>-18.25607626811988</v>
      </c>
      <c r="X162" s="48">
        <f t="shared" si="100"/>
        <v>-18.97889229810556</v>
      </c>
    </row>
    <row r="163" spans="2:24" ht="11.25" customHeight="1" x14ac:dyDescent="0.25">
      <c r="B163" s="21"/>
      <c r="C163" s="21"/>
      <c r="D163" s="21"/>
      <c r="E163" s="21"/>
      <c r="F163" s="21"/>
      <c r="G163" s="21"/>
      <c r="H163" s="21"/>
      <c r="I163" s="21"/>
      <c r="J163" s="21"/>
      <c r="K163" s="21"/>
      <c r="L163" s="21"/>
      <c r="M163" s="21"/>
      <c r="N163" s="21"/>
      <c r="O163" s="148"/>
      <c r="P163" s="21"/>
      <c r="Q163" s="21"/>
      <c r="R163" s="21"/>
      <c r="S163" s="21"/>
      <c r="T163" s="189"/>
      <c r="U163" s="21"/>
      <c r="V163" s="21"/>
      <c r="W163" s="21"/>
      <c r="X163" s="189"/>
    </row>
    <row r="164" spans="2:24" x14ac:dyDescent="0.25">
      <c r="B164" s="586" t="s">
        <v>511</v>
      </c>
      <c r="C164" s="21"/>
      <c r="D164" s="21"/>
      <c r="E164" s="21"/>
      <c r="F164" s="21"/>
      <c r="G164" s="21"/>
      <c r="H164" s="21"/>
      <c r="I164" s="21"/>
      <c r="J164" s="21"/>
      <c r="K164" s="21"/>
      <c r="L164" s="21"/>
      <c r="M164" s="21"/>
      <c r="N164" s="21"/>
      <c r="O164" s="148"/>
      <c r="P164" s="593">
        <f>P144</f>
        <v>-15.888720431768489</v>
      </c>
      <c r="Q164" s="594">
        <f t="shared" ref="Q164:T164" si="101">Q144</f>
        <v>-15.62414884374523</v>
      </c>
      <c r="R164" s="594">
        <f t="shared" si="101"/>
        <v>-15.857272324603537</v>
      </c>
      <c r="S164" s="594">
        <f t="shared" si="101"/>
        <v>-16.044882694836843</v>
      </c>
      <c r="T164" s="595">
        <f t="shared" si="101"/>
        <v>-16.312141008663897</v>
      </c>
      <c r="U164" s="246">
        <f>U159</f>
        <v>-16.831527077330378</v>
      </c>
      <c r="V164" s="246">
        <f t="shared" ref="V164:X164" si="102">V159</f>
        <v>-17.542956234078002</v>
      </c>
      <c r="W164" s="246">
        <f t="shared" si="102"/>
        <v>-18.25607626811988</v>
      </c>
      <c r="X164" s="248">
        <f t="shared" si="102"/>
        <v>-18.97889229810556</v>
      </c>
    </row>
    <row r="167" spans="2:24" x14ac:dyDescent="0.25">
      <c r="O167" s="661"/>
      <c r="P167" s="661" t="str">
        <f t="shared" ref="P167:X167" si="103">P60</f>
        <v>2014-15</v>
      </c>
      <c r="Q167" s="661" t="str">
        <f t="shared" si="103"/>
        <v>2015-16</v>
      </c>
      <c r="R167" s="661" t="str">
        <f t="shared" si="103"/>
        <v>2016-17</v>
      </c>
      <c r="S167" s="661" t="str">
        <f t="shared" si="103"/>
        <v>2017-18</v>
      </c>
      <c r="T167" s="661" t="str">
        <f t="shared" si="103"/>
        <v>2018-19</v>
      </c>
      <c r="U167" s="661" t="str">
        <f t="shared" si="103"/>
        <v>2019-20</v>
      </c>
      <c r="V167" s="661" t="str">
        <f t="shared" si="103"/>
        <v>2020-21</v>
      </c>
      <c r="W167" s="661" t="str">
        <f t="shared" si="103"/>
        <v>2021-22</v>
      </c>
      <c r="X167" s="661" t="str">
        <f t="shared" si="103"/>
        <v>2022-23</v>
      </c>
    </row>
    <row r="168" spans="2:24" x14ac:dyDescent="0.25">
      <c r="O168" s="661" t="s">
        <v>561</v>
      </c>
      <c r="P168" s="662">
        <f t="shared" ref="P168:X168" si="104">P87</f>
        <v>158.98340198399376</v>
      </c>
      <c r="Q168" s="662">
        <f t="shared" si="104"/>
        <v>158.90741146024163</v>
      </c>
      <c r="R168" s="662">
        <f t="shared" si="104"/>
        <v>159.84328719500502</v>
      </c>
      <c r="S168" s="662">
        <f t="shared" si="104"/>
        <v>160.70248450321702</v>
      </c>
      <c r="T168" s="662">
        <f t="shared" si="104"/>
        <v>161.73358466024411</v>
      </c>
      <c r="U168" s="662">
        <f t="shared" si="104"/>
        <v>162.70189092692155</v>
      </c>
      <c r="V168" s="662">
        <f t="shared" si="104"/>
        <v>163.67873187071234</v>
      </c>
      <c r="W168" s="662">
        <f t="shared" si="104"/>
        <v>164.66272998399921</v>
      </c>
      <c r="X168" s="662">
        <f t="shared" si="104"/>
        <v>165.67532510186982</v>
      </c>
    </row>
    <row r="169" spans="2:24" x14ac:dyDescent="0.25">
      <c r="O169" s="661" t="s">
        <v>562</v>
      </c>
      <c r="P169" s="662">
        <f t="shared" ref="P169:X169" si="105">P107</f>
        <v>254.56808704791393</v>
      </c>
      <c r="Q169" s="662">
        <f t="shared" si="105"/>
        <v>255.10730667050484</v>
      </c>
      <c r="R169" s="662">
        <f t="shared" si="105"/>
        <v>257.11198414911428</v>
      </c>
      <c r="S169" s="662">
        <f t="shared" si="105"/>
        <v>258.94122467941264</v>
      </c>
      <c r="T169" s="662">
        <f t="shared" si="105"/>
        <v>261.13575562413217</v>
      </c>
      <c r="U169" s="662">
        <f t="shared" si="105"/>
        <v>263.18698280782576</v>
      </c>
      <c r="V169" s="662">
        <f t="shared" si="105"/>
        <v>265.25050725928236</v>
      </c>
      <c r="W169" s="662">
        <f t="shared" si="105"/>
        <v>267.32397804776394</v>
      </c>
      <c r="X169" s="662">
        <f t="shared" si="105"/>
        <v>269.45448410650329</v>
      </c>
    </row>
    <row r="170" spans="2:24" x14ac:dyDescent="0.25">
      <c r="O170" s="661" t="s">
        <v>563</v>
      </c>
    </row>
    <row r="171" spans="2:24" x14ac:dyDescent="0.25">
      <c r="O171" s="661" t="s">
        <v>441</v>
      </c>
      <c r="P171" s="663">
        <f>P83</f>
        <v>0.69690309223450531</v>
      </c>
      <c r="Q171" s="663">
        <f t="shared" ref="Q171:X171" si="106">Q83</f>
        <v>0.70195806622582013</v>
      </c>
      <c r="R171" s="663">
        <f t="shared" si="106"/>
        <v>0.70306109902787661</v>
      </c>
      <c r="S171" s="663">
        <f t="shared" si="106"/>
        <v>0.70470975085305043</v>
      </c>
      <c r="T171" s="663">
        <f t="shared" si="106"/>
        <v>0.70542180922852082</v>
      </c>
      <c r="U171" s="663">
        <f t="shared" si="106"/>
        <v>0.70657202638603034</v>
      </c>
      <c r="V171" s="663">
        <f t="shared" si="106"/>
        <v>0.70772964447976272</v>
      </c>
      <c r="W171" s="663">
        <f t="shared" si="106"/>
        <v>0.70889465979988575</v>
      </c>
      <c r="X171" s="663">
        <f t="shared" si="106"/>
        <v>0.70993768191231821</v>
      </c>
    </row>
    <row r="172" spans="2:24" x14ac:dyDescent="0.25">
      <c r="O172" s="661" t="s">
        <v>490</v>
      </c>
      <c r="P172" s="663">
        <f t="shared" ref="P172:X173" si="107">P84</f>
        <v>0.18637603224425373</v>
      </c>
      <c r="Q172" s="663">
        <f t="shared" si="107"/>
        <v>0.18298141127055795</v>
      </c>
      <c r="R172" s="663">
        <f t="shared" si="107"/>
        <v>0.18417811272669579</v>
      </c>
      <c r="S172" s="663">
        <f t="shared" si="107"/>
        <v>0.18471874769735294</v>
      </c>
      <c r="T172" s="663">
        <f t="shared" si="107"/>
        <v>0.18631691520455945</v>
      </c>
      <c r="U172" s="663">
        <f t="shared" si="107"/>
        <v>0.18738070751350475</v>
      </c>
      <c r="V172" s="663">
        <f t="shared" si="107"/>
        <v>0.18840767007372</v>
      </c>
      <c r="W172" s="663">
        <f t="shared" si="107"/>
        <v>0.18939729216582216</v>
      </c>
      <c r="X172" s="663">
        <f t="shared" si="107"/>
        <v>0.1904968197106128</v>
      </c>
    </row>
    <row r="173" spans="2:24" x14ac:dyDescent="0.25">
      <c r="O173" s="661" t="s">
        <v>158</v>
      </c>
      <c r="P173" s="663">
        <f t="shared" si="107"/>
        <v>0.11672087552124098</v>
      </c>
      <c r="Q173" s="663">
        <f t="shared" si="107"/>
        <v>0.11506052250362192</v>
      </c>
      <c r="R173" s="663">
        <f t="shared" si="107"/>
        <v>0.11276078824542754</v>
      </c>
      <c r="S173" s="663">
        <f t="shared" si="107"/>
        <v>0.11057150144959664</v>
      </c>
      <c r="T173" s="663">
        <f t="shared" si="107"/>
        <v>0.10826127556691979</v>
      </c>
      <c r="U173" s="663">
        <f t="shared" si="107"/>
        <v>0.10604726610046498</v>
      </c>
      <c r="V173" s="663">
        <f t="shared" si="107"/>
        <v>0.10386268544651732</v>
      </c>
      <c r="W173" s="663">
        <f t="shared" si="107"/>
        <v>0.10170804803429201</v>
      </c>
      <c r="X173" s="663">
        <f t="shared" si="107"/>
        <v>9.9565498377068948E-2</v>
      </c>
    </row>
    <row r="174" spans="2:24" x14ac:dyDescent="0.25">
      <c r="O174" s="661" t="s">
        <v>565</v>
      </c>
    </row>
    <row r="175" spans="2:24" x14ac:dyDescent="0.25">
      <c r="O175" s="661" t="s">
        <v>441</v>
      </c>
      <c r="P175" s="364">
        <f t="shared" ref="P175:X175" si="108">P$169*70%</f>
        <v>178.19766093353974</v>
      </c>
      <c r="Q175" s="364">
        <f t="shared" si="108"/>
        <v>178.57511466935338</v>
      </c>
      <c r="R175" s="364">
        <f t="shared" si="108"/>
        <v>179.97838890437998</v>
      </c>
      <c r="S175" s="364">
        <f t="shared" si="108"/>
        <v>181.25885727558884</v>
      </c>
      <c r="T175" s="364">
        <f t="shared" si="108"/>
        <v>182.79502893689252</v>
      </c>
      <c r="U175" s="364">
        <f t="shared" si="108"/>
        <v>184.23088796547802</v>
      </c>
      <c r="V175" s="364">
        <f t="shared" si="108"/>
        <v>185.67535508149763</v>
      </c>
      <c r="W175" s="364">
        <f t="shared" si="108"/>
        <v>187.12678463343474</v>
      </c>
      <c r="X175" s="364">
        <f t="shared" si="108"/>
        <v>188.6181388745523</v>
      </c>
    </row>
    <row r="176" spans="2:24" x14ac:dyDescent="0.25">
      <c r="O176" s="661" t="s">
        <v>490</v>
      </c>
      <c r="P176" s="364">
        <f t="shared" ref="P176:X176" si="109">P$169*13%</f>
        <v>33.093851316228815</v>
      </c>
      <c r="Q176" s="364">
        <f t="shared" si="109"/>
        <v>33.163949867165627</v>
      </c>
      <c r="R176" s="364">
        <f t="shared" si="109"/>
        <v>33.424557939384854</v>
      </c>
      <c r="S176" s="364">
        <f t="shared" si="109"/>
        <v>33.662359208323643</v>
      </c>
      <c r="T176" s="364">
        <f t="shared" si="109"/>
        <v>33.947648231137187</v>
      </c>
      <c r="U176" s="364">
        <f t="shared" si="109"/>
        <v>34.214307765017352</v>
      </c>
      <c r="V176" s="364">
        <f t="shared" si="109"/>
        <v>34.48256594370671</v>
      </c>
      <c r="W176" s="364">
        <f t="shared" si="109"/>
        <v>34.752117146209315</v>
      </c>
      <c r="X176" s="364">
        <f t="shared" si="109"/>
        <v>35.02908293384543</v>
      </c>
    </row>
    <row r="177" spans="15:24" x14ac:dyDescent="0.25">
      <c r="O177" s="661" t="s">
        <v>158</v>
      </c>
      <c r="P177" s="364">
        <f t="shared" ref="P177:X177" si="110">P$169*17%</f>
        <v>43.276574798145369</v>
      </c>
      <c r="Q177" s="364">
        <f t="shared" si="110"/>
        <v>43.368242133985824</v>
      </c>
      <c r="R177" s="364">
        <f t="shared" si="110"/>
        <v>43.709037305349433</v>
      </c>
      <c r="S177" s="364">
        <f t="shared" si="110"/>
        <v>44.020008195500154</v>
      </c>
      <c r="T177" s="364">
        <f t="shared" si="110"/>
        <v>44.393078456102472</v>
      </c>
      <c r="U177" s="364">
        <f t="shared" si="110"/>
        <v>44.741787077330379</v>
      </c>
      <c r="V177" s="364">
        <f t="shared" si="110"/>
        <v>45.092586234078006</v>
      </c>
      <c r="W177" s="364">
        <f t="shared" si="110"/>
        <v>45.445076268119877</v>
      </c>
      <c r="X177" s="364">
        <f t="shared" si="110"/>
        <v>45.807262298105563</v>
      </c>
    </row>
    <row r="178" spans="15:24" x14ac:dyDescent="0.25">
      <c r="O178" s="661" t="s">
        <v>564</v>
      </c>
      <c r="P178" s="564"/>
      <c r="Q178" s="564"/>
      <c r="R178" s="564"/>
      <c r="S178" s="564"/>
      <c r="T178" s="564"/>
      <c r="U178" s="564"/>
      <c r="V178" s="564"/>
      <c r="W178" s="564"/>
      <c r="X178" s="564"/>
    </row>
    <row r="179" spans="15:24" x14ac:dyDescent="0.25">
      <c r="O179" s="661" t="s">
        <v>441</v>
      </c>
      <c r="P179" s="364">
        <f t="shared" ref="P179:X179" si="111">P$169*P171</f>
        <v>177.40928704791395</v>
      </c>
      <c r="Q179" s="364">
        <f t="shared" si="111"/>
        <v>179.07463167050483</v>
      </c>
      <c r="R179" s="364">
        <f t="shared" si="111"/>
        <v>180.76543414911427</v>
      </c>
      <c r="S179" s="364">
        <f t="shared" si="111"/>
        <v>182.47840592941265</v>
      </c>
      <c r="T179" s="364">
        <f t="shared" si="111"/>
        <v>184.21085718663221</v>
      </c>
      <c r="U179" s="364">
        <f t="shared" si="111"/>
        <v>185.96055976095079</v>
      </c>
      <c r="V179" s="364">
        <f t="shared" si="111"/>
        <v>187.72564720068863</v>
      </c>
      <c r="W179" s="364">
        <f t="shared" si="111"/>
        <v>189.50454047452175</v>
      </c>
      <c r="X179" s="364">
        <f t="shared" si="111"/>
        <v>191.29589182745053</v>
      </c>
    </row>
    <row r="180" spans="15:24" x14ac:dyDescent="0.25">
      <c r="O180" s="661" t="s">
        <v>490</v>
      </c>
      <c r="P180" s="364">
        <f t="shared" ref="P180:X180" si="112">P$169*P172</f>
        <v>47.445389999999996</v>
      </c>
      <c r="Q180" s="364">
        <f t="shared" si="112"/>
        <v>46.679894999999995</v>
      </c>
      <c r="R180" s="364">
        <f t="shared" si="112"/>
        <v>47.354399999999991</v>
      </c>
      <c r="S180" s="364">
        <f t="shared" si="112"/>
        <v>47.831298750000002</v>
      </c>
      <c r="T180" s="364">
        <f t="shared" si="112"/>
        <v>48.654008437499996</v>
      </c>
      <c r="U180" s="364">
        <f t="shared" si="112"/>
        <v>49.316163046874998</v>
      </c>
      <c r="V180" s="364">
        <f t="shared" si="112"/>
        <v>49.975230058593745</v>
      </c>
      <c r="W180" s="364">
        <f t="shared" si="112"/>
        <v>50.630437573242176</v>
      </c>
      <c r="X180" s="364">
        <f t="shared" si="112"/>
        <v>51.330222279052741</v>
      </c>
    </row>
    <row r="181" spans="15:24" x14ac:dyDescent="0.25">
      <c r="O181" s="661" t="s">
        <v>158</v>
      </c>
      <c r="P181" s="364">
        <f t="shared" ref="P181:X181" si="113">P$169*P173</f>
        <v>29.71341</v>
      </c>
      <c r="Q181" s="364">
        <f t="shared" si="113"/>
        <v>29.352779999999999</v>
      </c>
      <c r="R181" s="364">
        <f t="shared" si="113"/>
        <v>28.992149999999999</v>
      </c>
      <c r="S181" s="364">
        <f t="shared" si="113"/>
        <v>28.631520000000005</v>
      </c>
      <c r="T181" s="364">
        <f t="shared" si="113"/>
        <v>28.270889999999998</v>
      </c>
      <c r="U181" s="364">
        <f t="shared" si="113"/>
        <v>27.910260000000001</v>
      </c>
      <c r="V181" s="364">
        <f t="shared" si="113"/>
        <v>27.549630000000004</v>
      </c>
      <c r="W181" s="364">
        <f t="shared" si="113"/>
        <v>27.188999999999997</v>
      </c>
      <c r="X181" s="364">
        <f t="shared" si="113"/>
        <v>26.828370000000003</v>
      </c>
    </row>
    <row r="182" spans="15:24" x14ac:dyDescent="0.25">
      <c r="O182" s="661" t="s">
        <v>134</v>
      </c>
      <c r="P182" s="564"/>
      <c r="Q182" s="564"/>
      <c r="R182" s="564"/>
      <c r="S182" s="564"/>
      <c r="T182" s="564"/>
      <c r="U182" s="564"/>
      <c r="V182" s="564"/>
      <c r="W182" s="564"/>
      <c r="X182" s="564"/>
    </row>
    <row r="183" spans="15:24" x14ac:dyDescent="0.25">
      <c r="O183" s="661" t="s">
        <v>441</v>
      </c>
      <c r="P183" s="364">
        <f>P179-P175</f>
        <v>-0.78837388562578781</v>
      </c>
      <c r="Q183" s="364">
        <f t="shared" ref="Q183:X183" si="114">Q179-Q175</f>
        <v>0.49951700115144604</v>
      </c>
      <c r="R183" s="364">
        <f t="shared" si="114"/>
        <v>0.78704524473428705</v>
      </c>
      <c r="S183" s="364">
        <f t="shared" si="114"/>
        <v>1.2195486538238072</v>
      </c>
      <c r="T183" s="364">
        <f t="shared" si="114"/>
        <v>1.4158282497396897</v>
      </c>
      <c r="U183" s="364">
        <f t="shared" si="114"/>
        <v>1.7296717954727683</v>
      </c>
      <c r="V183" s="364">
        <f t="shared" si="114"/>
        <v>2.0502921191909991</v>
      </c>
      <c r="W183" s="364">
        <f t="shared" si="114"/>
        <v>2.3777558410870085</v>
      </c>
      <c r="X183" s="364">
        <f t="shared" si="114"/>
        <v>2.6777529528982313</v>
      </c>
    </row>
    <row r="184" spans="15:24" x14ac:dyDescent="0.25">
      <c r="O184" s="661" t="s">
        <v>490</v>
      </c>
      <c r="P184" s="364">
        <f t="shared" ref="P184:X185" si="115">P180-P176</f>
        <v>14.351538683771182</v>
      </c>
      <c r="Q184" s="364">
        <f t="shared" si="115"/>
        <v>13.515945132834368</v>
      </c>
      <c r="R184" s="364">
        <f t="shared" si="115"/>
        <v>13.929842060615137</v>
      </c>
      <c r="S184" s="364">
        <f t="shared" si="115"/>
        <v>14.168939541676359</v>
      </c>
      <c r="T184" s="364">
        <f t="shared" si="115"/>
        <v>14.70636020636281</v>
      </c>
      <c r="U184" s="364">
        <f t="shared" si="115"/>
        <v>15.101855281857645</v>
      </c>
      <c r="V184" s="364">
        <f t="shared" si="115"/>
        <v>15.492664114887035</v>
      </c>
      <c r="W184" s="364">
        <f t="shared" si="115"/>
        <v>15.878320427032861</v>
      </c>
      <c r="X184" s="364">
        <f t="shared" si="115"/>
        <v>16.301139345207311</v>
      </c>
    </row>
    <row r="185" spans="15:24" x14ac:dyDescent="0.25">
      <c r="O185" s="661" t="s">
        <v>158</v>
      </c>
      <c r="P185" s="364">
        <f t="shared" si="115"/>
        <v>-13.563164798145369</v>
      </c>
      <c r="Q185" s="364">
        <f t="shared" si="115"/>
        <v>-14.015462133985825</v>
      </c>
      <c r="R185" s="364">
        <f t="shared" si="115"/>
        <v>-14.716887305349434</v>
      </c>
      <c r="S185" s="364">
        <f t="shared" si="115"/>
        <v>-15.388488195500148</v>
      </c>
      <c r="T185" s="364">
        <f t="shared" si="115"/>
        <v>-16.122188456102474</v>
      </c>
      <c r="U185" s="364">
        <f>U181-U177</f>
        <v>-16.831527077330378</v>
      </c>
      <c r="V185" s="364">
        <f t="shared" si="115"/>
        <v>-17.542956234078002</v>
      </c>
      <c r="W185" s="364">
        <f t="shared" si="115"/>
        <v>-18.25607626811988</v>
      </c>
      <c r="X185" s="364">
        <f t="shared" si="115"/>
        <v>-18.97889229810556</v>
      </c>
    </row>
  </sheetData>
  <mergeCells count="2">
    <mergeCell ref="D12:N12"/>
    <mergeCell ref="P12:X12"/>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232"/>
  <sheetViews>
    <sheetView topLeftCell="A79" workbookViewId="0">
      <selection activeCell="P101" sqref="P101"/>
    </sheetView>
  </sheetViews>
  <sheetFormatPr defaultRowHeight="15" x14ac:dyDescent="0.25"/>
  <cols>
    <col min="1" max="1" width="2.42578125" style="7" customWidth="1"/>
    <col min="2" max="2" width="70.28515625" style="7" customWidth="1"/>
    <col min="3" max="3" width="13.140625" style="7" customWidth="1"/>
    <col min="4" max="13" width="9.140625" style="7" hidden="1" customWidth="1"/>
    <col min="14" max="14" width="12.140625" style="7" customWidth="1"/>
    <col min="15" max="15" width="8.7109375" style="7" customWidth="1"/>
    <col min="16" max="16" width="8.85546875" style="7" customWidth="1"/>
    <col min="17" max="17" width="9" style="7" customWidth="1"/>
    <col min="18" max="18" width="8.7109375" style="7" customWidth="1"/>
    <col min="19" max="20" width="9.140625" style="7" customWidth="1"/>
    <col min="21" max="21" width="9.5703125" style="7" customWidth="1"/>
    <col min="22" max="22" width="9.7109375" style="7" customWidth="1"/>
    <col min="23" max="23" width="9" style="7" customWidth="1"/>
    <col min="24" max="24" width="9.140625" style="7" customWidth="1"/>
    <col min="25" max="27" width="9.140625" style="7"/>
    <col min="28" max="28" width="9.5703125" style="7" bestFit="1" customWidth="1"/>
    <col min="29" max="30" width="9.140625" style="7"/>
    <col min="31" max="31" width="47.42578125" style="7" customWidth="1"/>
    <col min="32" max="16384" width="9.140625" style="7"/>
  </cols>
  <sheetData>
    <row r="1" spans="2:36" s="2" customFormat="1" x14ac:dyDescent="0.25">
      <c r="M1" s="7"/>
      <c r="N1" s="7"/>
      <c r="O1" s="7"/>
    </row>
    <row r="2" spans="2:36" s="2" customFormat="1" x14ac:dyDescent="0.25">
      <c r="M2" s="7"/>
      <c r="N2" s="7"/>
      <c r="O2" s="7"/>
    </row>
    <row r="3" spans="2:36" s="2" customFormat="1" x14ac:dyDescent="0.25">
      <c r="M3" s="7"/>
      <c r="N3" s="7"/>
      <c r="O3" s="7"/>
    </row>
    <row r="4" spans="2:36" s="2" customFormat="1" x14ac:dyDescent="0.25">
      <c r="M4" s="7"/>
      <c r="N4" s="7"/>
      <c r="O4" s="7"/>
    </row>
    <row r="5" spans="2:36" s="2" customFormat="1" x14ac:dyDescent="0.25">
      <c r="M5" s="7"/>
      <c r="N5" s="7"/>
      <c r="O5" s="7"/>
    </row>
    <row r="6" spans="2:36" s="2" customFormat="1" x14ac:dyDescent="0.25">
      <c r="M6" s="7"/>
      <c r="N6" s="7"/>
      <c r="O6" s="7"/>
    </row>
    <row r="7" spans="2:36" s="2" customFormat="1" ht="20.25" x14ac:dyDescent="0.3">
      <c r="B7" s="1" t="str">
        <f>Index!B7</f>
        <v>Economic effects of fiscal support for the NSW GREYHOUND racing industry: DRAFT</v>
      </c>
      <c r="C7" s="1"/>
      <c r="M7" s="7"/>
      <c r="N7" s="7"/>
      <c r="O7" s="7"/>
    </row>
    <row r="8" spans="2:36" s="2" customFormat="1" ht="25.5" customHeight="1" x14ac:dyDescent="0.25">
      <c r="B8" s="3" t="s">
        <v>547</v>
      </c>
      <c r="M8" s="7"/>
      <c r="N8" s="7"/>
      <c r="O8" s="7"/>
    </row>
    <row r="9" spans="2:36" s="12" customFormat="1" ht="18" x14ac:dyDescent="0.25">
      <c r="C9" s="301"/>
    </row>
    <row r="10" spans="2:36" s="2" customFormat="1" x14ac:dyDescent="0.25">
      <c r="M10" s="7"/>
      <c r="N10" s="7"/>
      <c r="O10" s="203"/>
    </row>
    <row r="11" spans="2:36" s="2" customFormat="1" x14ac:dyDescent="0.25">
      <c r="B11" s="296" t="s">
        <v>332</v>
      </c>
      <c r="C11" s="297"/>
      <c r="K11" s="12"/>
      <c r="L11" s="12"/>
      <c r="M11" s="12"/>
      <c r="N11" s="12"/>
      <c r="O11" s="7"/>
      <c r="Y11" s="7"/>
      <c r="Z11" s="7"/>
    </row>
    <row r="12" spans="2:36" x14ac:dyDescent="0.25">
      <c r="B12" s="43"/>
      <c r="C12" s="44"/>
      <c r="D12" s="281" t="s">
        <v>13</v>
      </c>
      <c r="E12" s="281" t="s">
        <v>14</v>
      </c>
      <c r="F12" s="281" t="s">
        <v>15</v>
      </c>
      <c r="G12" s="281" t="s">
        <v>16</v>
      </c>
      <c r="H12" s="281" t="s">
        <v>17</v>
      </c>
      <c r="I12" s="281" t="s">
        <v>18</v>
      </c>
      <c r="J12" s="281" t="s">
        <v>19</v>
      </c>
      <c r="K12" s="281" t="s">
        <v>20</v>
      </c>
      <c r="L12" s="281" t="s">
        <v>21</v>
      </c>
      <c r="M12" s="281" t="s">
        <v>11</v>
      </c>
      <c r="N12" s="284" t="s">
        <v>8</v>
      </c>
      <c r="O12" s="497" t="s">
        <v>22</v>
      </c>
      <c r="P12" s="310" t="s">
        <v>23</v>
      </c>
      <c r="Q12" s="310" t="s">
        <v>24</v>
      </c>
      <c r="R12" s="310" t="s">
        <v>25</v>
      </c>
      <c r="S12" s="310" t="s">
        <v>26</v>
      </c>
      <c r="T12" s="310" t="s">
        <v>27</v>
      </c>
      <c r="U12" s="310" t="s">
        <v>28</v>
      </c>
      <c r="V12" s="310" t="s">
        <v>29</v>
      </c>
      <c r="W12" s="310" t="s">
        <v>30</v>
      </c>
      <c r="X12" s="455" t="s">
        <v>31</v>
      </c>
    </row>
    <row r="13" spans="2:36" ht="21" customHeight="1" x14ac:dyDescent="0.25">
      <c r="B13" s="295" t="s">
        <v>330</v>
      </c>
      <c r="C13" s="8"/>
      <c r="D13" s="304"/>
      <c r="E13" s="304"/>
      <c r="F13" s="304"/>
      <c r="G13" s="304"/>
      <c r="H13" s="304"/>
      <c r="I13" s="304"/>
      <c r="J13" s="304"/>
      <c r="K13" s="304"/>
      <c r="L13" s="304"/>
      <c r="M13" s="304"/>
      <c r="N13" s="305"/>
      <c r="O13" s="434"/>
      <c r="P13" s="306"/>
      <c r="Q13" s="306"/>
      <c r="R13" s="306"/>
      <c r="S13" s="306"/>
      <c r="T13" s="306"/>
      <c r="U13" s="306"/>
      <c r="V13" s="306"/>
      <c r="W13" s="306"/>
      <c r="X13" s="307"/>
      <c r="Z13" s="35" t="s">
        <v>184</v>
      </c>
    </row>
    <row r="14" spans="2:36" ht="13.5" customHeight="1" x14ac:dyDescent="0.25">
      <c r="B14" s="35" t="s">
        <v>248</v>
      </c>
      <c r="C14" s="292" t="s">
        <v>36</v>
      </c>
      <c r="N14" s="8"/>
      <c r="O14" s="234"/>
      <c r="P14" s="40">
        <f>'4.Turnover'!P125</f>
        <v>30.206846376958822</v>
      </c>
      <c r="Q14" s="40">
        <f>'4.Turnover'!Q125</f>
        <v>30.510223000366409</v>
      </c>
      <c r="R14" s="40">
        <f>'4.Turnover'!R125</f>
        <v>30.849754428635976</v>
      </c>
      <c r="S14" s="40">
        <f>'4.Turnover'!S125</f>
        <v>31.176281993624087</v>
      </c>
      <c r="T14" s="40">
        <f>'4.Turnover'!T125</f>
        <v>31.376315424087352</v>
      </c>
      <c r="U14" s="611">
        <f>'4.Turnover'!U135</f>
        <v>15.791218968469543</v>
      </c>
      <c r="V14" s="611">
        <f>'4.Turnover'!V135</f>
        <v>15.915030435556936</v>
      </c>
      <c r="W14" s="611">
        <f>'4.Turnover'!W135</f>
        <v>16.039438682865836</v>
      </c>
      <c r="X14" s="597">
        <f>'4.Turnover'!X135</f>
        <v>16.167269046390196</v>
      </c>
      <c r="Z14" s="579">
        <v>2689.2512207</v>
      </c>
      <c r="AA14" s="579">
        <f>Z14+P14</f>
        <v>2719.4580670769587</v>
      </c>
      <c r="AB14" s="589">
        <f>(AA14/Z14-1)*100</f>
        <v>1.1232437544119067</v>
      </c>
      <c r="AC14" s="610">
        <f>P14/Z14</f>
        <v>1.1232437544119109E-2</v>
      </c>
      <c r="AE14" s="661" t="s">
        <v>367</v>
      </c>
      <c r="AF14" s="661" t="str">
        <f>P12</f>
        <v>2014-15</v>
      </c>
      <c r="AG14" s="661" t="str">
        <f t="shared" ref="AG14:AI14" si="0">Q12</f>
        <v>2015-16</v>
      </c>
      <c r="AH14" s="661" t="str">
        <f t="shared" si="0"/>
        <v>2016-17</v>
      </c>
      <c r="AI14" s="661" t="str">
        <f t="shared" si="0"/>
        <v>2017-18</v>
      </c>
      <c r="AJ14" s="661" t="str">
        <f>T12</f>
        <v>2018-19</v>
      </c>
    </row>
    <row r="15" spans="2:36" ht="12" customHeight="1" x14ac:dyDescent="0.25">
      <c r="B15" s="35" t="s">
        <v>249</v>
      </c>
      <c r="C15" s="292" t="s">
        <v>36</v>
      </c>
      <c r="N15" s="8"/>
      <c r="O15" s="234"/>
      <c r="P15" s="40">
        <f>P14</f>
        <v>30.206846376958822</v>
      </c>
      <c r="Q15" s="40">
        <f t="shared" ref="Q15:X15" si="1">P15+Q14</f>
        <v>60.717069377325231</v>
      </c>
      <c r="R15" s="40">
        <f t="shared" si="1"/>
        <v>91.566823805961207</v>
      </c>
      <c r="S15" s="40">
        <f t="shared" si="1"/>
        <v>122.74310579958529</v>
      </c>
      <c r="T15" s="40">
        <f t="shared" si="1"/>
        <v>154.11942122367265</v>
      </c>
      <c r="U15" s="40">
        <f t="shared" si="1"/>
        <v>169.91064019214218</v>
      </c>
      <c r="V15" s="40">
        <f t="shared" si="1"/>
        <v>185.82567062769911</v>
      </c>
      <c r="W15" s="40">
        <f t="shared" si="1"/>
        <v>201.86510931056495</v>
      </c>
      <c r="X15" s="25">
        <f t="shared" si="1"/>
        <v>218.03237835695515</v>
      </c>
      <c r="Z15" s="579">
        <v>2689.2512207</v>
      </c>
      <c r="AA15" s="579">
        <f>Z15+U14</f>
        <v>2705.0424396684693</v>
      </c>
      <c r="AB15" s="589">
        <f>(AA15/Z15-1)*100</f>
        <v>0.58719761273768878</v>
      </c>
      <c r="AC15" s="610">
        <f>U14/Z15</f>
        <v>5.8719761273768835E-3</v>
      </c>
      <c r="AD15" s="36"/>
      <c r="AE15" s="661" t="s">
        <v>553</v>
      </c>
      <c r="AF15" s="662">
        <f>-P14</f>
        <v>-30.206846376958822</v>
      </c>
      <c r="AG15" s="662">
        <f>-Q14</f>
        <v>-30.510223000366409</v>
      </c>
      <c r="AH15" s="662">
        <f>-R14</f>
        <v>-30.849754428635976</v>
      </c>
      <c r="AI15" s="662">
        <f>-S14</f>
        <v>-31.176281993624087</v>
      </c>
      <c r="AJ15" s="662">
        <f>-T14</f>
        <v>-31.376315424087352</v>
      </c>
    </row>
    <row r="16" spans="2:36" ht="14.25" customHeight="1" x14ac:dyDescent="0.25">
      <c r="B16" s="35"/>
      <c r="C16" s="292"/>
      <c r="N16" s="8"/>
      <c r="O16" s="234"/>
      <c r="P16" s="35"/>
      <c r="Q16" s="35"/>
      <c r="R16" s="35"/>
      <c r="S16" s="35"/>
      <c r="T16" s="35"/>
      <c r="U16" s="35"/>
      <c r="V16" s="35"/>
      <c r="W16" s="35"/>
      <c r="X16" s="24"/>
      <c r="AE16" s="661" t="s">
        <v>552</v>
      </c>
      <c r="AF16" s="662">
        <f>P14</f>
        <v>30.206846376958822</v>
      </c>
      <c r="AG16" s="662">
        <f>Q14</f>
        <v>30.510223000366409</v>
      </c>
      <c r="AH16" s="662">
        <f>R14</f>
        <v>30.849754428635976</v>
      </c>
      <c r="AI16" s="662">
        <f>S14</f>
        <v>31.176281993624087</v>
      </c>
      <c r="AJ16" s="662">
        <f>T14</f>
        <v>31.376315424087352</v>
      </c>
    </row>
    <row r="17" spans="1:36" ht="12.75" customHeight="1" x14ac:dyDescent="0.25">
      <c r="B17" s="35" t="s">
        <v>247</v>
      </c>
      <c r="C17" s="24" t="s">
        <v>36</v>
      </c>
      <c r="D17" s="35"/>
      <c r="E17" s="35"/>
      <c r="F17" s="35"/>
      <c r="G17" s="35"/>
      <c r="H17" s="35"/>
      <c r="I17" s="35"/>
      <c r="J17" s="35"/>
      <c r="K17" s="35"/>
      <c r="L17" s="35"/>
      <c r="M17" s="35"/>
      <c r="N17" s="24"/>
      <c r="O17" s="147"/>
      <c r="P17" s="40">
        <f>-P14</f>
        <v>-30.206846376958822</v>
      </c>
      <c r="Q17" s="40">
        <f t="shared" ref="Q17:X17" si="2">-Q14</f>
        <v>-30.510223000366409</v>
      </c>
      <c r="R17" s="40">
        <f t="shared" si="2"/>
        <v>-30.849754428635976</v>
      </c>
      <c r="S17" s="40">
        <f t="shared" si="2"/>
        <v>-31.176281993624087</v>
      </c>
      <c r="T17" s="40">
        <f t="shared" si="2"/>
        <v>-31.376315424087352</v>
      </c>
      <c r="U17" s="611">
        <f t="shared" si="2"/>
        <v>-15.791218968469543</v>
      </c>
      <c r="V17" s="611">
        <f t="shared" si="2"/>
        <v>-15.915030435556936</v>
      </c>
      <c r="W17" s="611">
        <f t="shared" si="2"/>
        <v>-16.039438682865836</v>
      </c>
      <c r="X17" s="597">
        <f t="shared" si="2"/>
        <v>-16.167269046390196</v>
      </c>
      <c r="AE17" s="35"/>
      <c r="AF17" s="35"/>
      <c r="AG17" s="35"/>
      <c r="AH17" s="35"/>
      <c r="AI17" s="35"/>
      <c r="AJ17" s="35"/>
    </row>
    <row r="18" spans="1:36" ht="13.5" customHeight="1" x14ac:dyDescent="0.25">
      <c r="A18" s="12"/>
      <c r="B18" s="21" t="s">
        <v>246</v>
      </c>
      <c r="C18" s="189" t="s">
        <v>36</v>
      </c>
      <c r="D18" s="21"/>
      <c r="E18" s="21"/>
      <c r="F18" s="21"/>
      <c r="G18" s="21"/>
      <c r="H18" s="21"/>
      <c r="I18" s="21"/>
      <c r="J18" s="21"/>
      <c r="K18" s="21"/>
      <c r="L18" s="21"/>
      <c r="M18" s="21"/>
      <c r="N18" s="189"/>
      <c r="O18" s="148"/>
      <c r="P18" s="37">
        <f>P17</f>
        <v>-30.206846376958822</v>
      </c>
      <c r="Q18" s="37">
        <f>P18+Q17</f>
        <v>-60.717069377325231</v>
      </c>
      <c r="R18" s="37">
        <f t="shared" ref="R18:X18" si="3">Q18+R17</f>
        <v>-91.566823805961207</v>
      </c>
      <c r="S18" s="37">
        <f t="shared" si="3"/>
        <v>-122.74310579958529</v>
      </c>
      <c r="T18" s="37">
        <f t="shared" si="3"/>
        <v>-154.11942122367265</v>
      </c>
      <c r="U18" s="37">
        <f t="shared" si="3"/>
        <v>-169.91064019214218</v>
      </c>
      <c r="V18" s="37">
        <f t="shared" si="3"/>
        <v>-185.82567062769911</v>
      </c>
      <c r="W18" s="37">
        <f t="shared" si="3"/>
        <v>-201.86510931056495</v>
      </c>
      <c r="X18" s="38">
        <f t="shared" si="3"/>
        <v>-218.03237835695515</v>
      </c>
      <c r="AE18" s="661" t="s">
        <v>367</v>
      </c>
      <c r="AF18" s="661" t="str">
        <f>U12</f>
        <v>2019-20</v>
      </c>
      <c r="AG18" s="661" t="str">
        <f t="shared" ref="AG18:AI18" si="4">V12</f>
        <v>2020-21</v>
      </c>
      <c r="AH18" s="661" t="str">
        <f t="shared" si="4"/>
        <v>2021-22</v>
      </c>
      <c r="AI18" s="661" t="str">
        <f t="shared" si="4"/>
        <v>2022-23</v>
      </c>
      <c r="AJ18" s="661" t="s">
        <v>554</v>
      </c>
    </row>
    <row r="19" spans="1:36" s="54" customFormat="1" ht="16.5" customHeight="1" x14ac:dyDescent="0.25">
      <c r="B19" s="498"/>
      <c r="C19" s="499"/>
      <c r="D19" s="498"/>
      <c r="E19" s="498"/>
      <c r="F19" s="498"/>
      <c r="G19" s="498"/>
      <c r="H19" s="498"/>
      <c r="I19" s="498"/>
      <c r="J19" s="498"/>
      <c r="K19" s="498"/>
      <c r="L19" s="498"/>
      <c r="M19" s="498"/>
      <c r="N19" s="499"/>
      <c r="O19" s="500"/>
      <c r="P19" s="498"/>
      <c r="Q19" s="498"/>
      <c r="R19" s="498"/>
      <c r="S19" s="498"/>
      <c r="T19" s="498"/>
      <c r="U19" s="498"/>
      <c r="V19" s="498"/>
      <c r="W19" s="498"/>
      <c r="X19" s="499"/>
      <c r="AE19" s="661" t="s">
        <v>555</v>
      </c>
      <c r="AF19" s="662">
        <f>U17</f>
        <v>-15.791218968469543</v>
      </c>
      <c r="AG19" s="662">
        <f t="shared" ref="AG19:AI19" si="5">V17</f>
        <v>-15.915030435556936</v>
      </c>
      <c r="AH19" s="662">
        <f t="shared" si="5"/>
        <v>-16.039438682865836</v>
      </c>
      <c r="AI19" s="662">
        <f t="shared" si="5"/>
        <v>-16.167269046390196</v>
      </c>
      <c r="AJ19" s="662">
        <f>AI19-0.2</f>
        <v>-16.367269046390195</v>
      </c>
    </row>
    <row r="20" spans="1:36" s="54" customFormat="1" ht="18" customHeight="1" x14ac:dyDescent="0.3">
      <c r="B20" s="503" t="s">
        <v>424</v>
      </c>
      <c r="C20" s="504"/>
      <c r="D20" s="299"/>
      <c r="E20" s="299"/>
      <c r="F20" s="299"/>
      <c r="G20" s="299"/>
      <c r="H20" s="299"/>
      <c r="I20" s="299"/>
      <c r="J20" s="299"/>
      <c r="K20" s="299"/>
      <c r="L20" s="299"/>
      <c r="M20" s="299"/>
      <c r="N20" s="505"/>
      <c r="O20" s="609" t="str">
        <f t="shared" ref="O20:X20" si="6">O12</f>
        <v>2013-14</v>
      </c>
      <c r="P20" s="501" t="str">
        <f t="shared" si="6"/>
        <v>2014-15</v>
      </c>
      <c r="Q20" s="501" t="str">
        <f t="shared" si="6"/>
        <v>2015-16</v>
      </c>
      <c r="R20" s="501" t="str">
        <f t="shared" si="6"/>
        <v>2016-17</v>
      </c>
      <c r="S20" s="501" t="str">
        <f t="shared" si="6"/>
        <v>2017-18</v>
      </c>
      <c r="T20" s="501" t="str">
        <f t="shared" si="6"/>
        <v>2018-19</v>
      </c>
      <c r="U20" s="501" t="str">
        <f t="shared" si="6"/>
        <v>2019-20</v>
      </c>
      <c r="V20" s="501" t="str">
        <f t="shared" si="6"/>
        <v>2020-21</v>
      </c>
      <c r="W20" s="501" t="str">
        <f t="shared" si="6"/>
        <v>2021-22</v>
      </c>
      <c r="X20" s="502" t="str">
        <f t="shared" si="6"/>
        <v>2022-23</v>
      </c>
      <c r="AE20" s="661" t="s">
        <v>552</v>
      </c>
      <c r="AF20" s="662">
        <f>ABS(AF19)</f>
        <v>15.791218968469543</v>
      </c>
      <c r="AG20" s="662">
        <f t="shared" ref="AG20:AJ20" si="7">ABS(AG19)</f>
        <v>15.915030435556936</v>
      </c>
      <c r="AH20" s="662">
        <f t="shared" si="7"/>
        <v>16.039438682865836</v>
      </c>
      <c r="AI20" s="662">
        <f t="shared" si="7"/>
        <v>16.167269046390196</v>
      </c>
      <c r="AJ20" s="662">
        <f t="shared" si="7"/>
        <v>16.367269046390195</v>
      </c>
    </row>
    <row r="21" spans="1:36" s="54" customFormat="1" ht="16.5" customHeight="1" x14ac:dyDescent="0.25">
      <c r="B21" s="56" t="s">
        <v>348</v>
      </c>
      <c r="C21" s="292" t="s">
        <v>36</v>
      </c>
      <c r="N21" s="204"/>
      <c r="O21" s="496">
        <f>'Appendix B State Taxes'!M61</f>
        <v>26191.62</v>
      </c>
      <c r="P21" s="467">
        <f>'Appendix B State Taxes'!N61</f>
        <v>27081.040000000001</v>
      </c>
      <c r="Q21" s="467">
        <f>'Appendix B State Taxes'!O61</f>
        <v>27970.46</v>
      </c>
      <c r="R21" s="467">
        <f>'Appendix B State Taxes'!P61</f>
        <v>28859.879999999997</v>
      </c>
      <c r="S21" s="467">
        <f>'Appendix B State Taxes'!Q61</f>
        <v>29749.3</v>
      </c>
      <c r="T21" s="467">
        <f>'Appendix B State Taxes'!R61</f>
        <v>30638.720000000001</v>
      </c>
      <c r="U21" s="467">
        <f>'Appendix B State Taxes'!S61</f>
        <v>31528.14</v>
      </c>
      <c r="V21" s="467">
        <f>'Appendix B State Taxes'!T61</f>
        <v>32417.559999999998</v>
      </c>
      <c r="W21" s="467">
        <f>'Appendix B State Taxes'!U61</f>
        <v>33306.979999999996</v>
      </c>
      <c r="X21" s="469">
        <f>'Appendix B State Taxes'!V61</f>
        <v>34196.399999999994</v>
      </c>
    </row>
    <row r="22" spans="1:36" s="54" customFormat="1" ht="13.5" customHeight="1" x14ac:dyDescent="0.25">
      <c r="B22" s="56" t="s">
        <v>420</v>
      </c>
      <c r="C22" s="292"/>
      <c r="N22" s="204"/>
      <c r="O22" s="435"/>
      <c r="P22" s="295"/>
      <c r="Q22" s="295"/>
      <c r="R22" s="295"/>
      <c r="S22" s="295"/>
      <c r="T22" s="295"/>
      <c r="U22" s="295"/>
      <c r="V22" s="295"/>
      <c r="W22" s="295"/>
      <c r="X22" s="300"/>
    </row>
    <row r="23" spans="1:36" s="54" customFormat="1" ht="17.25" customHeight="1" x14ac:dyDescent="0.25">
      <c r="B23" s="333" t="s">
        <v>334</v>
      </c>
      <c r="C23" s="292" t="s">
        <v>36</v>
      </c>
      <c r="N23" s="204"/>
      <c r="O23" s="485"/>
      <c r="P23" s="53">
        <f>'4.Turnover'!P97</f>
        <v>178.19766093353974</v>
      </c>
      <c r="Q23" s="53">
        <f>'4.Turnover'!Q97</f>
        <v>178.57511466935338</v>
      </c>
      <c r="R23" s="53">
        <f>'4.Turnover'!R97</f>
        <v>179.97838890437998</v>
      </c>
      <c r="S23" s="53">
        <f>'4.Turnover'!S97</f>
        <v>181.25885727558884</v>
      </c>
      <c r="T23" s="53">
        <f>'4.Turnover'!T97</f>
        <v>182.79502893689252</v>
      </c>
      <c r="U23" s="53">
        <f>'4.Turnover'!U97</f>
        <v>184.23088796547802</v>
      </c>
      <c r="V23" s="53">
        <f>'4.Turnover'!V97</f>
        <v>185.67535508149763</v>
      </c>
      <c r="W23" s="53">
        <f>'4.Turnover'!W97</f>
        <v>187.12678463343474</v>
      </c>
      <c r="X23" s="53">
        <f>'4.Turnover'!X97</f>
        <v>188.6181388745523</v>
      </c>
    </row>
    <row r="24" spans="1:36" s="54" customFormat="1" ht="17.25" customHeight="1" x14ac:dyDescent="0.25">
      <c r="B24" s="333" t="s">
        <v>331</v>
      </c>
      <c r="C24" s="292" t="s">
        <v>36</v>
      </c>
      <c r="N24" s="204"/>
      <c r="O24" s="485"/>
      <c r="P24" s="53">
        <f>'4.Turnover'!P98</f>
        <v>33.093851316228815</v>
      </c>
      <c r="Q24" s="53">
        <f>'4.Turnover'!Q98</f>
        <v>33.163949867165627</v>
      </c>
      <c r="R24" s="53">
        <f>'4.Turnover'!R98</f>
        <v>33.424557939384854</v>
      </c>
      <c r="S24" s="53">
        <f>'4.Turnover'!S98</f>
        <v>33.662359208323643</v>
      </c>
      <c r="T24" s="53">
        <f>'4.Turnover'!T98</f>
        <v>33.947648231137187</v>
      </c>
      <c r="U24" s="53">
        <f>'4.Turnover'!U98</f>
        <v>34.214307765017352</v>
      </c>
      <c r="V24" s="53">
        <f>'4.Turnover'!V98</f>
        <v>34.48256594370671</v>
      </c>
      <c r="W24" s="53">
        <f>'4.Turnover'!W98</f>
        <v>34.752117146209315</v>
      </c>
      <c r="X24" s="53">
        <f>'4.Turnover'!X98</f>
        <v>35.02908293384543</v>
      </c>
    </row>
    <row r="25" spans="1:36" s="54" customFormat="1" ht="17.25" customHeight="1" x14ac:dyDescent="0.25">
      <c r="B25" s="333" t="s">
        <v>335</v>
      </c>
      <c r="C25" s="292" t="s">
        <v>36</v>
      </c>
      <c r="N25" s="204"/>
      <c r="O25" s="485"/>
      <c r="P25" s="53">
        <f>'4.Turnover'!P99</f>
        <v>43.276574798145369</v>
      </c>
      <c r="Q25" s="53">
        <f>'4.Turnover'!Q99</f>
        <v>43.368242133985824</v>
      </c>
      <c r="R25" s="53">
        <f>'4.Turnover'!R99</f>
        <v>43.709037305349433</v>
      </c>
      <c r="S25" s="53">
        <f>'4.Turnover'!S99</f>
        <v>44.020008195500154</v>
      </c>
      <c r="T25" s="53">
        <f>'4.Turnover'!T99</f>
        <v>44.393078456102472</v>
      </c>
      <c r="U25" s="53">
        <f>'4.Turnover'!U99</f>
        <v>44.741787077330379</v>
      </c>
      <c r="V25" s="53">
        <f>'4.Turnover'!V99</f>
        <v>45.092586234078006</v>
      </c>
      <c r="W25" s="53">
        <f>'4.Turnover'!W99</f>
        <v>45.445076268119877</v>
      </c>
      <c r="X25" s="53">
        <f>'4.Turnover'!X99</f>
        <v>45.807262298105563</v>
      </c>
    </row>
    <row r="26" spans="1:36" s="54" customFormat="1" ht="17.25" customHeight="1" x14ac:dyDescent="0.25">
      <c r="B26" s="333" t="s">
        <v>345</v>
      </c>
      <c r="C26" s="292" t="s">
        <v>36</v>
      </c>
      <c r="N26" s="204"/>
      <c r="O26" s="485"/>
      <c r="P26" s="53">
        <f>SUM(P23:P25)</f>
        <v>254.56808704791391</v>
      </c>
      <c r="Q26" s="53">
        <f t="shared" ref="Q26:X26" si="8">SUM(Q23:Q25)</f>
        <v>255.10730667050484</v>
      </c>
      <c r="R26" s="53">
        <f t="shared" si="8"/>
        <v>257.11198414911428</v>
      </c>
      <c r="S26" s="53">
        <f t="shared" si="8"/>
        <v>258.94122467941264</v>
      </c>
      <c r="T26" s="53">
        <f t="shared" si="8"/>
        <v>261.13575562413217</v>
      </c>
      <c r="U26" s="53">
        <f t="shared" si="8"/>
        <v>263.18698280782576</v>
      </c>
      <c r="V26" s="53">
        <f t="shared" si="8"/>
        <v>265.25050725928236</v>
      </c>
      <c r="W26" s="53">
        <f t="shared" si="8"/>
        <v>267.32397804776394</v>
      </c>
      <c r="X26" s="53">
        <f t="shared" si="8"/>
        <v>269.45448410650329</v>
      </c>
    </row>
    <row r="27" spans="1:36" s="54" customFormat="1" ht="17.25" customHeight="1" x14ac:dyDescent="0.25">
      <c r="B27" s="56" t="s">
        <v>336</v>
      </c>
      <c r="C27" s="292"/>
      <c r="N27" s="204"/>
      <c r="O27" s="435"/>
      <c r="P27" s="295"/>
      <c r="Q27" s="295"/>
      <c r="R27" s="295"/>
      <c r="S27" s="295"/>
      <c r="T27" s="295"/>
      <c r="U27" s="295"/>
      <c r="V27" s="295"/>
      <c r="W27" s="295"/>
      <c r="X27" s="300"/>
    </row>
    <row r="28" spans="1:36" s="54" customFormat="1" ht="17.25" customHeight="1" x14ac:dyDescent="0.25">
      <c r="B28" s="333" t="s">
        <v>337</v>
      </c>
      <c r="C28" s="292" t="s">
        <v>36</v>
      </c>
      <c r="N28" s="204"/>
      <c r="O28" s="485">
        <f>'4.Turnover'!O15</f>
        <v>3874.7010900051855</v>
      </c>
      <c r="P28" s="53">
        <f>'4.Turnover'!P15</f>
        <v>3942.4286010647543</v>
      </c>
      <c r="Q28" s="53">
        <f>'4.Turnover'!Q15</f>
        <v>3979.4362593445521</v>
      </c>
      <c r="R28" s="53">
        <f>'4.Turnover'!R15</f>
        <v>4017.0096477580955</v>
      </c>
      <c r="S28" s="53">
        <f>'4.Turnover'!S15</f>
        <v>4055.0756873202804</v>
      </c>
      <c r="T28" s="53">
        <f>'4.Turnover'!T15</f>
        <v>4093.5746041473822</v>
      </c>
      <c r="U28" s="53">
        <f>'4.Turnover'!U15</f>
        <v>4132.456883576684</v>
      </c>
      <c r="V28" s="53">
        <f>'4.Turnover'!V15</f>
        <v>4171.6810489041918</v>
      </c>
      <c r="W28" s="53">
        <f>'4.Turnover'!W15</f>
        <v>4211.2120105449285</v>
      </c>
      <c r="X28" s="150">
        <f>'4.Turnover'!X15</f>
        <v>4251.0198183877892</v>
      </c>
    </row>
    <row r="29" spans="1:36" s="54" customFormat="1" ht="17.25" customHeight="1" x14ac:dyDescent="0.25">
      <c r="B29" s="333" t="s">
        <v>338</v>
      </c>
      <c r="C29" s="292" t="s">
        <v>36</v>
      </c>
      <c r="N29" s="204"/>
      <c r="O29" s="485">
        <f>'4.Turnover'!O38</f>
        <v>913.61251699000002</v>
      </c>
      <c r="P29" s="53">
        <f>'4.Turnover'!P38</f>
        <v>1054.3419999999999</v>
      </c>
      <c r="Q29" s="53">
        <f>'4.Turnover'!Q38</f>
        <v>1037.3309999999999</v>
      </c>
      <c r="R29" s="53">
        <f>'4.Turnover'!R38</f>
        <v>1052.32</v>
      </c>
      <c r="S29" s="53">
        <f>'4.Turnover'!S38</f>
        <v>1062.9177500000001</v>
      </c>
      <c r="T29" s="53">
        <f>'4.Turnover'!T38</f>
        <v>1081.2001874999999</v>
      </c>
      <c r="U29" s="53">
        <f>'4.Turnover'!U38</f>
        <v>1095.9147343750001</v>
      </c>
      <c r="V29" s="53">
        <f>'4.Turnover'!V38</f>
        <v>1110.5606679687498</v>
      </c>
      <c r="W29" s="53">
        <f>'4.Turnover'!W38</f>
        <v>1125.1208349609374</v>
      </c>
      <c r="X29" s="150">
        <f>'4.Turnover'!X38</f>
        <v>1140.6716062011719</v>
      </c>
    </row>
    <row r="30" spans="1:36" s="54" customFormat="1" ht="17.25" customHeight="1" x14ac:dyDescent="0.25">
      <c r="B30" s="333" t="s">
        <v>339</v>
      </c>
      <c r="C30" s="292" t="s">
        <v>36</v>
      </c>
      <c r="N30" s="204"/>
      <c r="O30" s="485">
        <f>'4.Turnover'!O61</f>
        <v>648.31200000000001</v>
      </c>
      <c r="P30" s="53">
        <f>'4.Turnover'!P61</f>
        <v>660.298</v>
      </c>
      <c r="Q30" s="53">
        <f>'4.Turnover'!Q61</f>
        <v>652.28399999999999</v>
      </c>
      <c r="R30" s="53">
        <f>'4.Turnover'!R61</f>
        <v>644.27</v>
      </c>
      <c r="S30" s="53">
        <f>'4.Turnover'!S61</f>
        <v>636.25600000000009</v>
      </c>
      <c r="T30" s="53">
        <f>'4.Turnover'!T61</f>
        <v>628.24199999999996</v>
      </c>
      <c r="U30" s="53">
        <f>'4.Turnover'!U61</f>
        <v>620.22800000000007</v>
      </c>
      <c r="V30" s="53">
        <f>'4.Turnover'!V61</f>
        <v>612.21400000000006</v>
      </c>
      <c r="W30" s="53">
        <f>'4.Turnover'!W61</f>
        <v>604.20000000000005</v>
      </c>
      <c r="X30" s="150">
        <f>'4.Turnover'!X61</f>
        <v>596.18600000000004</v>
      </c>
    </row>
    <row r="31" spans="1:36" s="54" customFormat="1" ht="17.25" customHeight="1" x14ac:dyDescent="0.25">
      <c r="B31" s="333" t="s">
        <v>346</v>
      </c>
      <c r="C31" s="292" t="s">
        <v>36</v>
      </c>
      <c r="N31" s="204"/>
      <c r="O31" s="485">
        <f>SUM(O28:O30)</f>
        <v>5436.6256069951851</v>
      </c>
      <c r="P31" s="53">
        <f t="shared" ref="P31:X31" si="9">SUM(P28:P30)</f>
        <v>5657.0686010647541</v>
      </c>
      <c r="Q31" s="53">
        <f t="shared" si="9"/>
        <v>5669.0512593445519</v>
      </c>
      <c r="R31" s="53">
        <f t="shared" si="9"/>
        <v>5713.5996477580957</v>
      </c>
      <c r="S31" s="53">
        <f t="shared" si="9"/>
        <v>5754.2494373202808</v>
      </c>
      <c r="T31" s="53">
        <f t="shared" si="9"/>
        <v>5803.016791647382</v>
      </c>
      <c r="U31" s="53">
        <f t="shared" si="9"/>
        <v>5848.5996179516842</v>
      </c>
      <c r="V31" s="53">
        <f t="shared" si="9"/>
        <v>5894.4557168729416</v>
      </c>
      <c r="W31" s="53">
        <f t="shared" si="9"/>
        <v>5940.5328455058652</v>
      </c>
      <c r="X31" s="150">
        <f t="shared" si="9"/>
        <v>5987.8774245889608</v>
      </c>
    </row>
    <row r="32" spans="1:36" s="54" customFormat="1" ht="17.25" customHeight="1" x14ac:dyDescent="0.25">
      <c r="B32" s="56" t="s">
        <v>343</v>
      </c>
      <c r="C32" s="292"/>
      <c r="N32" s="204"/>
      <c r="O32" s="435"/>
      <c r="P32" s="53"/>
      <c r="Q32" s="53"/>
      <c r="R32" s="53"/>
      <c r="S32" s="53"/>
      <c r="T32" s="53"/>
      <c r="U32" s="53"/>
      <c r="V32" s="53"/>
      <c r="W32" s="53"/>
      <c r="X32" s="150"/>
    </row>
    <row r="33" spans="2:25" s="54" customFormat="1" ht="17.25" customHeight="1" x14ac:dyDescent="0.25">
      <c r="B33" s="333" t="s">
        <v>340</v>
      </c>
      <c r="C33" s="292" t="s">
        <v>252</v>
      </c>
      <c r="N33" s="204"/>
      <c r="O33" s="626">
        <f>'[1]5.Employ'!L287*1000</f>
        <v>5039.8435954747756</v>
      </c>
      <c r="P33" s="617">
        <f>'[1]5.Employ'!M287*1000</f>
        <v>5100.5799258214756</v>
      </c>
      <c r="Q33" s="618">
        <f>'[1]5.Employ'!N287*1000</f>
        <v>5133.6178009537061</v>
      </c>
      <c r="R33" s="618">
        <f>'[1]5.Employ'!O287*1000</f>
        <v>5181.7538371834735</v>
      </c>
      <c r="S33" s="618">
        <f>'[1]5.Employ'!P287*1000</f>
        <v>5230.5781764210833</v>
      </c>
      <c r="T33" s="618">
        <f>'[1]5.Employ'!Q287*1000</f>
        <v>5280.0073061362782</v>
      </c>
      <c r="U33" s="618">
        <f>'[1]5.Employ'!R287*1000</f>
        <v>5329.9720473747921</v>
      </c>
      <c r="V33" s="618">
        <f>'[1]5.Employ'!S287*1000</f>
        <v>5380.4144513422425</v>
      </c>
      <c r="W33" s="618">
        <f>'[1]5.Employ'!T287*1000</f>
        <v>5431.2854929486639</v>
      </c>
      <c r="X33" s="592">
        <f>'[1]5.Employ'!U287*1000</f>
        <v>5482.5433276726044</v>
      </c>
    </row>
    <row r="34" spans="2:25" s="54" customFormat="1" ht="15.75" customHeight="1" x14ac:dyDescent="0.25">
      <c r="B34" s="333" t="s">
        <v>341</v>
      </c>
      <c r="C34" s="292" t="s">
        <v>252</v>
      </c>
      <c r="N34" s="204"/>
      <c r="O34" s="626">
        <f>'[1]5.Employ'!L288*1000</f>
        <v>855.49098696068586</v>
      </c>
      <c r="P34" s="617">
        <f>'[1]5.Employ'!M288*1000</f>
        <v>987.26764509069869</v>
      </c>
      <c r="Q34" s="618">
        <f>'[1]5.Employ'!N288*1000</f>
        <v>971.33883839359476</v>
      </c>
      <c r="R34" s="618">
        <f>'[1]5.Employ'!O288*1000</f>
        <v>985.37427920147741</v>
      </c>
      <c r="S34" s="618">
        <f>'[1]5.Employ'!P288*1000</f>
        <v>995.29782932635158</v>
      </c>
      <c r="T34" s="618">
        <f>'[1]5.Employ'!Q288*1000</f>
        <v>1012.4171881464903</v>
      </c>
      <c r="U34" s="618">
        <f>'[1]5.Employ'!R288*1000</f>
        <v>1026.1956357866848</v>
      </c>
      <c r="V34" s="618">
        <f>'[1]5.Employ'!S288*1000</f>
        <v>1039.9098351349571</v>
      </c>
      <c r="W34" s="618">
        <f>'[1]5.Employ'!T288*1000</f>
        <v>1053.5437241183272</v>
      </c>
      <c r="X34" s="592">
        <f>'[1]5.Employ'!U288*1000</f>
        <v>1068.1051978163214</v>
      </c>
    </row>
    <row r="35" spans="2:25" s="54" customFormat="1" ht="15" customHeight="1" x14ac:dyDescent="0.25">
      <c r="B35" s="333" t="s">
        <v>342</v>
      </c>
      <c r="C35" s="292" t="s">
        <v>252</v>
      </c>
      <c r="N35" s="204"/>
      <c r="O35" s="626">
        <f>'[1]5.Employ'!L289*1000</f>
        <v>108.87339026886259</v>
      </c>
      <c r="P35" s="617">
        <f>'[1]5.Employ'!M289*1000</f>
        <v>110.88624280863139</v>
      </c>
      <c r="Q35" s="618">
        <f>'[1]5.Employ'!N289*1000</f>
        <v>109.54042266398704</v>
      </c>
      <c r="R35" s="618">
        <f>'[1]5.Employ'!O289*1000</f>
        <v>108.19460251934269</v>
      </c>
      <c r="S35" s="618">
        <f>'[1]5.Employ'!P289*1000</f>
        <v>106.84878237469836</v>
      </c>
      <c r="T35" s="618">
        <f>'[1]5.Employ'!Q289*1000</f>
        <v>105.502962230054</v>
      </c>
      <c r="U35" s="618">
        <f>'[1]5.Employ'!R289*1000</f>
        <v>104.15714208540967</v>
      </c>
      <c r="V35" s="618">
        <f>'[1]5.Employ'!S289*1000</f>
        <v>102.81132194076534</v>
      </c>
      <c r="W35" s="618">
        <f>'[1]5.Employ'!T289*1000</f>
        <v>101.46550179612099</v>
      </c>
      <c r="X35" s="592">
        <f>'[1]5.Employ'!U289*1000</f>
        <v>100.11968165147665</v>
      </c>
    </row>
    <row r="36" spans="2:25" s="54" customFormat="1" ht="15" customHeight="1" x14ac:dyDescent="0.25">
      <c r="B36" s="333" t="s">
        <v>345</v>
      </c>
      <c r="C36" s="292" t="s">
        <v>252</v>
      </c>
      <c r="N36" s="204"/>
      <c r="O36" s="485">
        <f>SUM(O33:O35)</f>
        <v>6004.2079727043247</v>
      </c>
      <c r="P36" s="53">
        <f t="shared" ref="P36:X36" si="10">SUM(P33:P35)</f>
        <v>6198.7338137208053</v>
      </c>
      <c r="Q36" s="53">
        <f t="shared" si="10"/>
        <v>6214.4970620112872</v>
      </c>
      <c r="R36" s="53">
        <f t="shared" si="10"/>
        <v>6275.3227189042937</v>
      </c>
      <c r="S36" s="53">
        <f t="shared" si="10"/>
        <v>6332.7247881221328</v>
      </c>
      <c r="T36" s="53">
        <f t="shared" si="10"/>
        <v>6397.9274565128226</v>
      </c>
      <c r="U36" s="53">
        <f t="shared" si="10"/>
        <v>6460.3248252468866</v>
      </c>
      <c r="V36" s="53">
        <f t="shared" si="10"/>
        <v>6523.1356084179652</v>
      </c>
      <c r="W36" s="53">
        <f t="shared" si="10"/>
        <v>6586.2947188631124</v>
      </c>
      <c r="X36" s="150">
        <f t="shared" si="10"/>
        <v>6650.7682071404024</v>
      </c>
    </row>
    <row r="37" spans="2:25" s="54" customFormat="1" ht="15" customHeight="1" x14ac:dyDescent="0.25">
      <c r="B37" s="333" t="s">
        <v>344</v>
      </c>
      <c r="C37" s="292" t="s">
        <v>252</v>
      </c>
      <c r="N37" s="204"/>
      <c r="O37" s="626">
        <f ca="1">SUM('[1]5.Employ'!L273:L285)*1000</f>
        <v>3832477.3144211532</v>
      </c>
      <c r="P37" s="617">
        <f ca="1">SUM('[1]5.Employ'!M273:M285)*1000</f>
        <v>3874852.9112148513</v>
      </c>
      <c r="Q37" s="618">
        <f ca="1">SUM('[1]5.Employ'!N273:N285)*1000</f>
        <v>3917181.6420871736</v>
      </c>
      <c r="R37" s="618">
        <f ca="1">SUM('[1]5.Employ'!O273:O285)*1000</f>
        <v>3956524.6941577429</v>
      </c>
      <c r="S37" s="618">
        <f ca="1">SUM('[1]5.Employ'!P273:P285)*1000</f>
        <v>3994493.2173964689</v>
      </c>
      <c r="T37" s="618">
        <f ca="1">SUM('[1]5.Employ'!Q273:Q285)*1000</f>
        <v>4030981.9510143041</v>
      </c>
      <c r="U37" s="618">
        <f ca="1">SUM('[1]5.Employ'!R273:R285)*1000</f>
        <v>4066060.1854143678</v>
      </c>
      <c r="V37" s="618">
        <f ca="1">SUM('[1]5.Employ'!S273:S285)*1000</f>
        <v>4102980.24070716</v>
      </c>
      <c r="W37" s="618">
        <f ca="1">SUM('[1]5.Employ'!T273:T285)*1000</f>
        <v>4140100.4931091811</v>
      </c>
      <c r="X37" s="592">
        <f ca="1">SUM('[1]5.Employ'!U273:U285)*1000</f>
        <v>4177472.5209513619</v>
      </c>
    </row>
    <row r="38" spans="2:25" s="54" customFormat="1" ht="15" customHeight="1" x14ac:dyDescent="0.25">
      <c r="B38" s="56" t="s">
        <v>325</v>
      </c>
      <c r="C38" s="292"/>
      <c r="N38" s="204"/>
      <c r="O38" s="485"/>
      <c r="P38" s="53"/>
      <c r="Q38" s="53"/>
      <c r="R38" s="53"/>
      <c r="S38" s="53"/>
      <c r="T38" s="53"/>
      <c r="U38" s="53"/>
      <c r="V38" s="53"/>
      <c r="W38" s="53"/>
      <c r="X38" s="150"/>
    </row>
    <row r="39" spans="2:25" s="54" customFormat="1" ht="15" customHeight="1" x14ac:dyDescent="0.25">
      <c r="B39" s="333" t="s">
        <v>340</v>
      </c>
      <c r="C39" s="292" t="s">
        <v>36</v>
      </c>
      <c r="N39" s="204"/>
      <c r="O39" s="626">
        <f>'[1]4.IGVA'!L327</f>
        <v>604.77959442416727</v>
      </c>
      <c r="P39" s="617">
        <f>'[1]4.IGVA'!M327</f>
        <v>612.06793433750715</v>
      </c>
      <c r="Q39" s="618">
        <f>'[1]4.IGVA'!N327</f>
        <v>616.03246862207254</v>
      </c>
      <c r="R39" s="618">
        <f>'[1]4.IGVA'!O327</f>
        <v>621.80877733418504</v>
      </c>
      <c r="S39" s="618">
        <f>'[1]4.IGVA'!P327</f>
        <v>627.66768218366542</v>
      </c>
      <c r="T39" s="618">
        <f>'[1]4.IGVA'!Q327</f>
        <v>633.59916169400901</v>
      </c>
      <c r="U39" s="618">
        <f>'[1]4.IGVA'!R327</f>
        <v>639.59491441317448</v>
      </c>
      <c r="V39" s="618">
        <f>'[1]4.IGVA'!S327</f>
        <v>645.64798650465889</v>
      </c>
      <c r="W39" s="618">
        <f>'[1]4.IGVA'!T327</f>
        <v>651.7524949735905</v>
      </c>
      <c r="X39" s="592">
        <f>'[1]4.IGVA'!U327</f>
        <v>657.90341849098695</v>
      </c>
    </row>
    <row r="40" spans="2:25" s="54" customFormat="1" ht="15" customHeight="1" x14ac:dyDescent="0.25">
      <c r="B40" s="333" t="s">
        <v>341</v>
      </c>
      <c r="C40" s="292" t="s">
        <v>36</v>
      </c>
      <c r="N40" s="204"/>
      <c r="O40" s="626">
        <f>'[1]4.IGVA'!L328</f>
        <v>102.65891843528229</v>
      </c>
      <c r="P40" s="617">
        <f>'[1]4.IGVA'!M328</f>
        <v>118.47211741088383</v>
      </c>
      <c r="Q40" s="618">
        <f>'[1]4.IGVA'!N328</f>
        <v>116.56066060723137</v>
      </c>
      <c r="R40" s="618">
        <f>'[1]4.IGVA'!O328</f>
        <v>118.24491350417728</v>
      </c>
      <c r="S40" s="618">
        <f>'[1]4.IGVA'!P328</f>
        <v>119.43573951916218</v>
      </c>
      <c r="T40" s="618">
        <f>'[1]4.IGVA'!Q328</f>
        <v>121.49006257757883</v>
      </c>
      <c r="U40" s="618">
        <f>'[1]4.IGVA'!R328</f>
        <v>123.14347629440218</v>
      </c>
      <c r="V40" s="618">
        <f>'[1]4.IGVA'!S328</f>
        <v>124.78918021619485</v>
      </c>
      <c r="W40" s="618">
        <f>'[1]4.IGVA'!T328</f>
        <v>126.42524689419926</v>
      </c>
      <c r="X40" s="592">
        <f>'[1]4.IGVA'!U328</f>
        <v>128.17262373795856</v>
      </c>
      <c r="Y40" s="664">
        <f ca="1">O40/O45</f>
        <v>2.1248859336668702E-4</v>
      </c>
    </row>
    <row r="41" spans="2:25" s="54" customFormat="1" ht="15" customHeight="1" x14ac:dyDescent="0.25">
      <c r="B41" s="333" t="s">
        <v>342</v>
      </c>
      <c r="C41" s="292" t="s">
        <v>36</v>
      </c>
      <c r="N41" s="204"/>
      <c r="O41" s="626">
        <f>'[1]4.IGVA'!L329</f>
        <v>12.835960627557233</v>
      </c>
      <c r="P41" s="617">
        <f>'[1]4.IGVA'!M329</f>
        <v>13.073272020963341</v>
      </c>
      <c r="Q41" s="618">
        <f>'[1]4.IGVA'!N329</f>
        <v>12.914602447564663</v>
      </c>
      <c r="R41" s="618">
        <f>'[1]4.IGVA'!O329</f>
        <v>12.755932874165985</v>
      </c>
      <c r="S41" s="618">
        <f>'[1]4.IGVA'!P329</f>
        <v>12.59726330076731</v>
      </c>
      <c r="T41" s="618">
        <f>'[1]4.IGVA'!Q329</f>
        <v>12.438593727368628</v>
      </c>
      <c r="U41" s="618">
        <f>'[1]4.IGVA'!R329</f>
        <v>12.279924153969953</v>
      </c>
      <c r="V41" s="618">
        <f>'[1]4.IGVA'!S329</f>
        <v>12.121254580571275</v>
      </c>
      <c r="W41" s="618">
        <f>'[1]4.IGVA'!T329</f>
        <v>11.962585007172597</v>
      </c>
      <c r="X41" s="592">
        <f>'[1]4.IGVA'!U329</f>
        <v>11.80391543377392</v>
      </c>
    </row>
    <row r="42" spans="2:25" s="54" customFormat="1" ht="15" customHeight="1" x14ac:dyDescent="0.25">
      <c r="B42" s="333" t="s">
        <v>345</v>
      </c>
      <c r="C42" s="292" t="s">
        <v>36</v>
      </c>
      <c r="N42" s="204"/>
      <c r="O42" s="485">
        <f>SUM(O39:O41)</f>
        <v>720.27447348700684</v>
      </c>
      <c r="P42" s="468">
        <f>SUM(P39:P41)</f>
        <v>743.61332376935434</v>
      </c>
      <c r="Q42" s="53">
        <f t="shared" ref="Q42:X42" si="11">SUM(Q39:Q41)</f>
        <v>745.50773167686862</v>
      </c>
      <c r="R42" s="53">
        <f t="shared" si="11"/>
        <v>752.80962371252826</v>
      </c>
      <c r="S42" s="53">
        <f t="shared" si="11"/>
        <v>759.70068500359491</v>
      </c>
      <c r="T42" s="53">
        <f t="shared" si="11"/>
        <v>767.52781799895638</v>
      </c>
      <c r="U42" s="53">
        <f t="shared" si="11"/>
        <v>775.01831486154663</v>
      </c>
      <c r="V42" s="53">
        <f t="shared" si="11"/>
        <v>782.55842130142503</v>
      </c>
      <c r="W42" s="53">
        <f t="shared" si="11"/>
        <v>790.1403268749624</v>
      </c>
      <c r="X42" s="150">
        <f t="shared" si="11"/>
        <v>797.87995766271945</v>
      </c>
    </row>
    <row r="43" spans="2:25" s="54" customFormat="1" ht="15" customHeight="1" x14ac:dyDescent="0.25">
      <c r="B43" s="333" t="s">
        <v>344</v>
      </c>
      <c r="C43" s="292" t="s">
        <v>36</v>
      </c>
      <c r="N43" s="204"/>
      <c r="O43" s="626">
        <f ca="1">SUM('[1]4.IGVA'!L313:L326)</f>
        <v>449644.54157212918</v>
      </c>
      <c r="P43" s="617">
        <f ca="1">SUM('[1]4.IGVA'!M313:M326)</f>
        <v>460777.50023273035</v>
      </c>
      <c r="Q43" s="618">
        <f ca="1">SUM('[1]4.IGVA'!N313:N326)</f>
        <v>472117.29764699657</v>
      </c>
      <c r="R43" s="618">
        <f ca="1">SUM('[1]4.IGVA'!O313:O326)</f>
        <v>483897.25862668268</v>
      </c>
      <c r="S43" s="618">
        <f ca="1">SUM('[1]4.IGVA'!P313:P326)</f>
        <v>496589.84120172873</v>
      </c>
      <c r="T43" s="618">
        <f ca="1">SUM('[1]4.IGVA'!Q313:Q326)</f>
        <v>509312.19219540583</v>
      </c>
      <c r="U43" s="618">
        <f ca="1">SUM('[1]4.IGVA'!R313:R326)</f>
        <v>522454.01172841823</v>
      </c>
      <c r="V43" s="618">
        <f ca="1">SUM('[1]4.IGVA'!S313:S326)</f>
        <v>536426.13384990487</v>
      </c>
      <c r="W43" s="618">
        <f ca="1">SUM('[1]4.IGVA'!T313:T326)</f>
        <v>550891.40514015476</v>
      </c>
      <c r="X43" s="592">
        <f ca="1">SUM('[1]4.IGVA'!U313:U326)</f>
        <v>565658.39512487128</v>
      </c>
    </row>
    <row r="44" spans="2:25" s="54" customFormat="1" ht="15" customHeight="1" x14ac:dyDescent="0.25">
      <c r="B44" s="333" t="s">
        <v>362</v>
      </c>
      <c r="C44" s="292" t="s">
        <v>36</v>
      </c>
      <c r="N44" s="204"/>
      <c r="O44" s="485">
        <f ca="1">O45-O43-O42</f>
        <v>32761.909999983778</v>
      </c>
      <c r="P44" s="468">
        <f t="shared" ref="P44:X44" ca="1" si="12">P45-P43-P42</f>
        <v>32824.153256587335</v>
      </c>
      <c r="Q44" s="53">
        <f t="shared" ca="1" si="12"/>
        <v>32839.055248910612</v>
      </c>
      <c r="R44" s="53">
        <f t="shared" ca="1" si="12"/>
        <v>32814.721076502785</v>
      </c>
      <c r="S44" s="53">
        <f t="shared" ca="1" si="12"/>
        <v>32791.323651911924</v>
      </c>
      <c r="T44" s="53">
        <f t="shared" ca="1" si="12"/>
        <v>32847.560047079402</v>
      </c>
      <c r="U44" s="53">
        <f t="shared" ca="1" si="12"/>
        <v>32800.768359632086</v>
      </c>
      <c r="V44" s="53">
        <f t="shared" ca="1" si="12"/>
        <v>32657.129223244261</v>
      </c>
      <c r="W44" s="53">
        <f t="shared" ca="1" si="12"/>
        <v>32515.14773319901</v>
      </c>
      <c r="X44" s="150">
        <f t="shared" ca="1" si="12"/>
        <v>32394.115871582704</v>
      </c>
    </row>
    <row r="45" spans="2:25" s="54" customFormat="1" ht="15" customHeight="1" x14ac:dyDescent="0.25">
      <c r="B45" s="56" t="s">
        <v>364</v>
      </c>
      <c r="C45" s="292" t="s">
        <v>36</v>
      </c>
      <c r="N45" s="204"/>
      <c r="O45" s="626">
        <f ca="1">'[1]3.Macro'!P14</f>
        <v>483126.72604559996</v>
      </c>
      <c r="P45" s="617">
        <f ca="1">'[1]3.Macro'!Q14</f>
        <v>494345.26681308704</v>
      </c>
      <c r="Q45" s="618">
        <f ca="1">'[1]3.Macro'!R14</f>
        <v>505701.86062758404</v>
      </c>
      <c r="R45" s="618">
        <f ca="1">'[1]3.Macro'!S14</f>
        <v>517464.789326898</v>
      </c>
      <c r="S45" s="618">
        <f ca="1">'[1]3.Macro'!T14</f>
        <v>530140.86553864426</v>
      </c>
      <c r="T45" s="618">
        <f ca="1">'[1]3.Macro'!U14</f>
        <v>542927.28006048419</v>
      </c>
      <c r="U45" s="618">
        <f ca="1">'[1]3.Macro'!V14</f>
        <v>556029.79840291187</v>
      </c>
      <c r="V45" s="618">
        <f ca="1">'[1]3.Macro'!W14</f>
        <v>569865.82149445056</v>
      </c>
      <c r="W45" s="618">
        <f ca="1">'[1]3.Macro'!X14</f>
        <v>584196.69320022874</v>
      </c>
      <c r="X45" s="592">
        <f ca="1">'[1]3.Macro'!Y14</f>
        <v>598850.39095411671</v>
      </c>
    </row>
    <row r="46" spans="2:25" s="54" customFormat="1" ht="15" customHeight="1" x14ac:dyDescent="0.25">
      <c r="B46" s="333"/>
      <c r="C46" s="300"/>
      <c r="N46" s="204"/>
      <c r="O46" s="435"/>
      <c r="P46" s="295"/>
      <c r="Q46" s="295"/>
      <c r="R46" s="295"/>
      <c r="S46" s="295"/>
      <c r="T46" s="295"/>
      <c r="U46" s="295"/>
      <c r="V46" s="295"/>
      <c r="W46" s="295"/>
      <c r="X46" s="300"/>
    </row>
    <row r="47" spans="2:25" s="54" customFormat="1" ht="15" customHeight="1" x14ac:dyDescent="0.3">
      <c r="B47" s="503" t="s">
        <v>365</v>
      </c>
      <c r="C47" s="506"/>
      <c r="D47" s="503"/>
      <c r="E47" s="503"/>
      <c r="F47" s="503"/>
      <c r="G47" s="503"/>
      <c r="H47" s="503"/>
      <c r="I47" s="503"/>
      <c r="J47" s="503"/>
      <c r="K47" s="503"/>
      <c r="L47" s="503"/>
      <c r="M47" s="503"/>
      <c r="N47" s="506"/>
      <c r="O47" s="501" t="str">
        <f>O20</f>
        <v>2013-14</v>
      </c>
      <c r="P47" s="501" t="str">
        <f>P20</f>
        <v>2014-15</v>
      </c>
      <c r="Q47" s="501" t="str">
        <f t="shared" ref="Q47:X47" si="13">Q20</f>
        <v>2015-16</v>
      </c>
      <c r="R47" s="501" t="str">
        <f t="shared" si="13"/>
        <v>2016-17</v>
      </c>
      <c r="S47" s="501" t="str">
        <f t="shared" si="13"/>
        <v>2017-18</v>
      </c>
      <c r="T47" s="501" t="str">
        <f t="shared" si="13"/>
        <v>2018-19</v>
      </c>
      <c r="U47" s="501" t="str">
        <f t="shared" si="13"/>
        <v>2019-20</v>
      </c>
      <c r="V47" s="501" t="str">
        <f t="shared" si="13"/>
        <v>2020-21</v>
      </c>
      <c r="W47" s="501" t="str">
        <f t="shared" si="13"/>
        <v>2021-22</v>
      </c>
      <c r="X47" s="502" t="str">
        <f t="shared" si="13"/>
        <v>2022-23</v>
      </c>
    </row>
    <row r="48" spans="2:25" s="54" customFormat="1" ht="15" customHeight="1" x14ac:dyDescent="0.25">
      <c r="B48" s="56" t="s">
        <v>348</v>
      </c>
      <c r="C48" s="292" t="s">
        <v>36</v>
      </c>
      <c r="N48" s="204"/>
      <c r="O48" s="485"/>
      <c r="P48" s="53">
        <f ca="1">P21+'[1]6.TaxRev'!L985</f>
        <v>27050.511400000003</v>
      </c>
      <c r="Q48" s="53">
        <f ca="1">Q21+'[1]6.TaxRev'!M985</f>
        <v>27939.280299999999</v>
      </c>
      <c r="R48" s="53">
        <f ca="1">R21+'[1]6.TaxRev'!N985</f>
        <v>28827.705769999997</v>
      </c>
      <c r="S48" s="53">
        <f ca="1">S21+'[1]6.TaxRev'!O985</f>
        <v>29715.984069999999</v>
      </c>
      <c r="T48" s="53">
        <f ca="1">T21+'[1]6.TaxRev'!P985</f>
        <v>30603.93017</v>
      </c>
      <c r="U48" s="53">
        <f ca="1">U21+'[1]6.TaxRev'!Q985</f>
        <v>31513.44557</v>
      </c>
      <c r="V48" s="53">
        <f ca="1">V21+'[1]6.TaxRev'!R985</f>
        <v>32402.215869999996</v>
      </c>
      <c r="W48" s="53">
        <f ca="1">W21+'[1]6.TaxRev'!S985</f>
        <v>33291.125670000001</v>
      </c>
      <c r="X48" s="53">
        <f ca="1">X21+'[1]6.TaxRev'!T985</f>
        <v>34180.104569999996</v>
      </c>
    </row>
    <row r="49" spans="2:26" s="54" customFormat="1" ht="15" customHeight="1" x14ac:dyDescent="0.25">
      <c r="B49" s="56" t="s">
        <v>333</v>
      </c>
      <c r="C49" s="292"/>
      <c r="N49" s="204"/>
      <c r="O49" s="435"/>
      <c r="P49" s="295"/>
      <c r="Q49" s="295"/>
      <c r="R49" s="295"/>
      <c r="S49" s="295"/>
      <c r="T49" s="295"/>
      <c r="U49" s="295"/>
      <c r="V49" s="295"/>
      <c r="W49" s="295"/>
      <c r="X49" s="300"/>
    </row>
    <row r="50" spans="2:26" s="54" customFormat="1" ht="15" customHeight="1" x14ac:dyDescent="0.25">
      <c r="B50" s="333" t="s">
        <v>334</v>
      </c>
      <c r="C50" s="292" t="s">
        <v>36</v>
      </c>
      <c r="N50" s="204"/>
      <c r="O50" s="435"/>
      <c r="P50" s="53"/>
      <c r="Q50" s="53"/>
      <c r="R50" s="53"/>
      <c r="S50" s="53"/>
      <c r="T50" s="53"/>
      <c r="U50" s="53"/>
      <c r="V50" s="53"/>
      <c r="W50" s="53"/>
      <c r="X50" s="150"/>
    </row>
    <row r="51" spans="2:26" s="54" customFormat="1" ht="15" customHeight="1" x14ac:dyDescent="0.25">
      <c r="B51" s="612" t="s">
        <v>331</v>
      </c>
      <c r="C51" s="292" t="s">
        <v>36</v>
      </c>
      <c r="N51" s="204"/>
      <c r="O51" s="435"/>
      <c r="P51" s="611">
        <f>P15</f>
        <v>30.206846376958822</v>
      </c>
      <c r="Q51" s="611">
        <f t="shared" ref="Q51:X51" si="14">Q15</f>
        <v>60.717069377325231</v>
      </c>
      <c r="R51" s="611">
        <f t="shared" si="14"/>
        <v>91.566823805961207</v>
      </c>
      <c r="S51" s="611">
        <f t="shared" si="14"/>
        <v>122.74310579958529</v>
      </c>
      <c r="T51" s="611">
        <f t="shared" si="14"/>
        <v>154.11942122367265</v>
      </c>
      <c r="U51" s="611">
        <f t="shared" si="14"/>
        <v>169.91064019214218</v>
      </c>
      <c r="V51" s="611">
        <f t="shared" si="14"/>
        <v>185.82567062769911</v>
      </c>
      <c r="W51" s="611">
        <f t="shared" si="14"/>
        <v>201.86510931056495</v>
      </c>
      <c r="X51" s="597">
        <f t="shared" si="14"/>
        <v>218.03237835695515</v>
      </c>
    </row>
    <row r="52" spans="2:26" s="54" customFormat="1" ht="15" customHeight="1" x14ac:dyDescent="0.25">
      <c r="B52" s="333" t="s">
        <v>335</v>
      </c>
      <c r="C52" s="292" t="s">
        <v>36</v>
      </c>
      <c r="N52" s="204"/>
      <c r="O52" s="435"/>
      <c r="P52" s="53"/>
      <c r="Q52" s="53"/>
      <c r="R52" s="53"/>
      <c r="S52" s="53"/>
      <c r="T52" s="53"/>
      <c r="U52" s="53"/>
      <c r="V52" s="53"/>
      <c r="W52" s="53"/>
      <c r="X52" s="150"/>
    </row>
    <row r="53" spans="2:26" s="54" customFormat="1" ht="15" customHeight="1" x14ac:dyDescent="0.25">
      <c r="B53" s="333" t="s">
        <v>345</v>
      </c>
      <c r="C53" s="292" t="s">
        <v>36</v>
      </c>
      <c r="N53" s="204"/>
      <c r="O53" s="435"/>
      <c r="P53" s="53"/>
      <c r="Q53" s="53"/>
      <c r="R53" s="53"/>
      <c r="S53" s="53"/>
      <c r="T53" s="53"/>
      <c r="U53" s="53"/>
      <c r="V53" s="53"/>
      <c r="W53" s="53"/>
      <c r="X53" s="150"/>
    </row>
    <row r="54" spans="2:26" s="54" customFormat="1" ht="15" customHeight="1" x14ac:dyDescent="0.25">
      <c r="B54" s="56" t="s">
        <v>336</v>
      </c>
      <c r="C54" s="292" t="s">
        <v>36</v>
      </c>
      <c r="N54" s="204"/>
      <c r="O54" s="435"/>
      <c r="P54" s="295"/>
      <c r="Q54" s="295"/>
      <c r="R54" s="295"/>
      <c r="S54" s="295"/>
      <c r="T54" s="295"/>
      <c r="U54" s="295"/>
      <c r="V54" s="295"/>
      <c r="W54" s="295"/>
      <c r="X54" s="300"/>
    </row>
    <row r="55" spans="2:26" s="54" customFormat="1" ht="15" customHeight="1" x14ac:dyDescent="0.25">
      <c r="B55" s="333" t="s">
        <v>337</v>
      </c>
      <c r="C55" s="292" t="s">
        <v>36</v>
      </c>
      <c r="N55" s="204"/>
      <c r="O55" s="435"/>
      <c r="P55" s="468">
        <f>P66/$Z55</f>
        <v>3933.2481508710871</v>
      </c>
      <c r="Q55" s="53">
        <f t="shared" ref="Q55:X55" si="15">Q66/$Z55</f>
        <v>3959.4746066448884</v>
      </c>
      <c r="R55" s="53">
        <f t="shared" si="15"/>
        <v>3997.3605356145536</v>
      </c>
      <c r="S55" s="53">
        <f t="shared" si="15"/>
        <v>4035.7809559851662</v>
      </c>
      <c r="T55" s="53">
        <f t="shared" si="15"/>
        <v>4074.7300886958765</v>
      </c>
      <c r="U55" s="53">
        <f t="shared" si="15"/>
        <v>4113.7393279955331</v>
      </c>
      <c r="V55" s="53">
        <f t="shared" si="15"/>
        <v>4153.4888285674797</v>
      </c>
      <c r="W55" s="53">
        <f t="shared" si="15"/>
        <v>4193.5461339709054</v>
      </c>
      <c r="X55" s="150">
        <f t="shared" si="15"/>
        <v>4233.8899776507915</v>
      </c>
      <c r="Z55" s="535">
        <f>O39/O28</f>
        <v>0.15608419343215915</v>
      </c>
    </row>
    <row r="56" spans="2:26" s="54" customFormat="1" ht="15" customHeight="1" x14ac:dyDescent="0.25">
      <c r="B56" s="333" t="s">
        <v>338</v>
      </c>
      <c r="C56" s="292" t="s">
        <v>36</v>
      </c>
      <c r="N56" s="204"/>
      <c r="O56" s="435"/>
      <c r="P56" s="468">
        <f>P67/$Z56</f>
        <v>1196.889996871927</v>
      </c>
      <c r="Q56" s="53">
        <f t="shared" ref="Q56:X56" si="16">Q67/$Z56</f>
        <v>1184.4593563649232</v>
      </c>
      <c r="R56" s="53">
        <f t="shared" si="16"/>
        <v>1204.594543507779</v>
      </c>
      <c r="S56" s="53">
        <f t="shared" si="16"/>
        <v>1220.2899432923639</v>
      </c>
      <c r="T56" s="53">
        <f t="shared" si="16"/>
        <v>1244.4132427208804</v>
      </c>
      <c r="U56" s="53">
        <f t="shared" si="16"/>
        <v>1260.5960166471868</v>
      </c>
      <c r="V56" s="53">
        <f t="shared" si="16"/>
        <v>1281.2394893804592</v>
      </c>
      <c r="W56" s="53">
        <f t="shared" si="16"/>
        <v>1301.4056663244987</v>
      </c>
      <c r="X56" s="150">
        <f t="shared" si="16"/>
        <v>1322.3271545386899</v>
      </c>
      <c r="Z56" s="535">
        <f>O40/O29</f>
        <v>0.11236592814369896</v>
      </c>
    </row>
    <row r="57" spans="2:26" s="54" customFormat="1" ht="15" customHeight="1" x14ac:dyDescent="0.25">
      <c r="B57" s="333" t="s">
        <v>339</v>
      </c>
      <c r="C57" s="292" t="s">
        <v>36</v>
      </c>
      <c r="N57" s="204"/>
      <c r="O57" s="435"/>
      <c r="P57" s="468">
        <f>P68/$Z57</f>
        <v>660.30714750437267</v>
      </c>
      <c r="Q57" s="53">
        <f t="shared" ref="Q57:X57" si="17">Q68/$Z57</f>
        <v>652.30207882861123</v>
      </c>
      <c r="R57" s="53">
        <f t="shared" si="17"/>
        <v>644.29679188833143</v>
      </c>
      <c r="S57" s="53">
        <f t="shared" si="17"/>
        <v>636.29127839280386</v>
      </c>
      <c r="T57" s="53">
        <f t="shared" si="17"/>
        <v>628.2855221050969</v>
      </c>
      <c r="U57" s="53">
        <f t="shared" si="17"/>
        <v>620.27933611917865</v>
      </c>
      <c r="V57" s="53">
        <f t="shared" si="17"/>
        <v>612.27297945840996</v>
      </c>
      <c r="W57" s="53">
        <f t="shared" si="17"/>
        <v>604.26642670727483</v>
      </c>
      <c r="X57" s="150">
        <f t="shared" si="17"/>
        <v>596.25966187105541</v>
      </c>
      <c r="Z57" s="535">
        <f>O41/O30</f>
        <v>1.9799048340239319E-2</v>
      </c>
    </row>
    <row r="58" spans="2:26" s="54" customFormat="1" ht="15" customHeight="1" x14ac:dyDescent="0.25">
      <c r="B58" s="333" t="s">
        <v>346</v>
      </c>
      <c r="C58" s="292" t="s">
        <v>36</v>
      </c>
      <c r="N58" s="204"/>
      <c r="O58" s="435"/>
      <c r="P58" s="53">
        <f>SUM(P55:P57)</f>
        <v>5790.4452952473866</v>
      </c>
      <c r="Q58" s="53">
        <f>SUM(Q55:Q57)</f>
        <v>5796.2360418384224</v>
      </c>
      <c r="R58" s="53">
        <f t="shared" ref="R58:X58" si="18">SUM(R55:R57)</f>
        <v>5846.2518710106642</v>
      </c>
      <c r="S58" s="53">
        <f t="shared" si="18"/>
        <v>5892.3621776703339</v>
      </c>
      <c r="T58" s="53">
        <f t="shared" si="18"/>
        <v>5947.4288535218539</v>
      </c>
      <c r="U58" s="53">
        <f t="shared" si="18"/>
        <v>5994.6146807618989</v>
      </c>
      <c r="V58" s="53">
        <f t="shared" si="18"/>
        <v>6047.0012974063493</v>
      </c>
      <c r="W58" s="53">
        <f t="shared" si="18"/>
        <v>6099.2182270026797</v>
      </c>
      <c r="X58" s="150">
        <f t="shared" si="18"/>
        <v>6152.4767940605361</v>
      </c>
    </row>
    <row r="59" spans="2:26" s="54" customFormat="1" ht="15" customHeight="1" x14ac:dyDescent="0.25">
      <c r="B59" s="56" t="s">
        <v>343</v>
      </c>
      <c r="C59" s="292"/>
      <c r="N59" s="204"/>
      <c r="O59" s="435"/>
      <c r="P59" s="295"/>
      <c r="Q59" s="295"/>
      <c r="R59" s="295"/>
      <c r="S59" s="295"/>
      <c r="T59" s="295"/>
      <c r="U59" s="295"/>
      <c r="V59" s="295"/>
      <c r="W59" s="295"/>
      <c r="X59" s="300"/>
    </row>
    <row r="60" spans="2:26" s="54" customFormat="1" ht="15" customHeight="1" x14ac:dyDescent="0.25">
      <c r="B60" s="333" t="s">
        <v>340</v>
      </c>
      <c r="C60" s="292" t="s">
        <v>252</v>
      </c>
      <c r="N60" s="204"/>
      <c r="O60" s="435"/>
      <c r="P60" s="618">
        <f>'[1]5.Employ'!M328*1000</f>
        <v>5166.4661797198432</v>
      </c>
      <c r="Q60" s="618">
        <f>'[1]5.Employ'!N328*1000</f>
        <v>5199.5092315309275</v>
      </c>
      <c r="R60" s="618">
        <f>'[1]5.Employ'!O328*1000</f>
        <v>5248.127777941675</v>
      </c>
      <c r="S60" s="618">
        <f>'[1]5.Employ'!P328*1000</f>
        <v>5297.4862204649689</v>
      </c>
      <c r="T60" s="618">
        <f>'[1]5.Employ'!Q328*1000</f>
        <v>5348.1077070408228</v>
      </c>
      <c r="U60" s="618">
        <f>'[1]5.Employ'!R328*1000</f>
        <v>5396.4207650324288</v>
      </c>
      <c r="V60" s="618">
        <f>'[1]5.Employ'!S328*1000</f>
        <v>5448.294333952188</v>
      </c>
      <c r="W60" s="618">
        <f>'[1]5.Employ'!T328*1000</f>
        <v>5500.4524771664155</v>
      </c>
      <c r="X60" s="592">
        <f>'[1]5.Employ'!U328*1000</f>
        <v>5552.9416297688176</v>
      </c>
    </row>
    <row r="61" spans="2:26" s="54" customFormat="1" ht="15" customHeight="1" x14ac:dyDescent="0.25">
      <c r="B61" s="333" t="s">
        <v>341</v>
      </c>
      <c r="C61" s="292" t="s">
        <v>252</v>
      </c>
      <c r="N61" s="204"/>
      <c r="O61" s="435"/>
      <c r="P61" s="618">
        <f>'[1]5.Employ'!M329*1000</f>
        <v>1574.3331621282919</v>
      </c>
      <c r="Q61" s="618">
        <f>'[1]5.Employ'!N329*1000</f>
        <v>1552.6310388832696</v>
      </c>
      <c r="R61" s="618">
        <f>'[1]5.Employ'!O329*1000</f>
        <v>1565.2996408294287</v>
      </c>
      <c r="S61" s="618">
        <f>'[1]5.Employ'!P329*1000</f>
        <v>1574.3548296801714</v>
      </c>
      <c r="T61" s="618">
        <f>'[1]5.Employ'!Q329*1000</f>
        <v>1596.5949328807189</v>
      </c>
      <c r="U61" s="618">
        <f>'[1]5.Employ'!R329*1000</f>
        <v>1590.0973221256636</v>
      </c>
      <c r="V61" s="618">
        <f>'[1]5.Employ'!S329*1000</f>
        <v>1611.2195941554255</v>
      </c>
      <c r="W61" s="618">
        <f>'[1]5.Employ'!T329*1000</f>
        <v>1630.9057640118033</v>
      </c>
      <c r="X61" s="592">
        <f>'[1]5.Employ'!U329*1000</f>
        <v>1650.9710456283599</v>
      </c>
    </row>
    <row r="62" spans="2:26" s="54" customFormat="1" ht="15" customHeight="1" x14ac:dyDescent="0.25">
      <c r="B62" s="333" t="s">
        <v>342</v>
      </c>
      <c r="C62" s="292" t="s">
        <v>252</v>
      </c>
      <c r="N62" s="204"/>
      <c r="O62" s="435"/>
      <c r="P62" s="618">
        <f>'[1]5.Employ'!M330*1000</f>
        <v>110.88624280863139</v>
      </c>
      <c r="Q62" s="618">
        <f>'[1]5.Employ'!N330*1000</f>
        <v>109.54042266398704</v>
      </c>
      <c r="R62" s="618">
        <f>'[1]5.Employ'!O330*1000</f>
        <v>108.19460251934269</v>
      </c>
      <c r="S62" s="618">
        <f>'[1]5.Employ'!P330*1000</f>
        <v>106.84878237469836</v>
      </c>
      <c r="T62" s="618">
        <f>'[1]5.Employ'!Q330*1000</f>
        <v>105.502962230054</v>
      </c>
      <c r="U62" s="618">
        <f>'[1]5.Employ'!R330*1000</f>
        <v>104.15714208540967</v>
      </c>
      <c r="V62" s="618">
        <f>'[1]5.Employ'!S330*1000</f>
        <v>102.81132194076534</v>
      </c>
      <c r="W62" s="618">
        <f>'[1]5.Employ'!T330*1000</f>
        <v>101.46550179612099</v>
      </c>
      <c r="X62" s="592">
        <f>'[1]5.Employ'!U330*1000</f>
        <v>100.11968165147665</v>
      </c>
    </row>
    <row r="63" spans="2:26" s="54" customFormat="1" ht="15" customHeight="1" x14ac:dyDescent="0.25">
      <c r="B63" s="333" t="s">
        <v>345</v>
      </c>
      <c r="C63" s="292" t="s">
        <v>252</v>
      </c>
      <c r="N63" s="204"/>
      <c r="O63" s="435"/>
      <c r="P63" s="53">
        <f>SUM(P60:P62)</f>
        <v>6851.685584656766</v>
      </c>
      <c r="Q63" s="53">
        <f t="shared" ref="Q63:X63" si="19">SUM(Q60:Q62)</f>
        <v>6861.680693078184</v>
      </c>
      <c r="R63" s="53">
        <f t="shared" si="19"/>
        <v>6921.6220212904464</v>
      </c>
      <c r="S63" s="53">
        <f t="shared" si="19"/>
        <v>6978.6898325198381</v>
      </c>
      <c r="T63" s="53">
        <f t="shared" si="19"/>
        <v>7050.2056021515964</v>
      </c>
      <c r="U63" s="53">
        <f t="shared" si="19"/>
        <v>7090.6752292435021</v>
      </c>
      <c r="V63" s="53">
        <f t="shared" si="19"/>
        <v>7162.3252500483786</v>
      </c>
      <c r="W63" s="53">
        <f t="shared" si="19"/>
        <v>7232.8237429743403</v>
      </c>
      <c r="X63" s="150">
        <f t="shared" si="19"/>
        <v>7304.0323570486544</v>
      </c>
    </row>
    <row r="64" spans="2:26" s="54" customFormat="1" ht="15" customHeight="1" x14ac:dyDescent="0.25">
      <c r="B64" s="333" t="s">
        <v>344</v>
      </c>
      <c r="C64" s="292" t="s">
        <v>252</v>
      </c>
      <c r="N64" s="204"/>
      <c r="O64" s="435"/>
      <c r="P64" s="53">
        <f ca="1">SUM('[1]5.Employ'!M314:M326)*1000</f>
        <v>3874692.0449921843</v>
      </c>
      <c r="Q64" s="53">
        <f ca="1">SUM('[1]5.Employ'!N314:N326)*1000</f>
        <v>3916808.1300454908</v>
      </c>
      <c r="R64" s="53">
        <f ca="1">SUM('[1]5.Employ'!O314:O326)*1000</f>
        <v>3956027.6387467654</v>
      </c>
      <c r="S64" s="53">
        <f ca="1">SUM('[1]5.Employ'!P314:P326)*1000</f>
        <v>3993927.0795484306</v>
      </c>
      <c r="T64" s="53">
        <f ca="1">SUM('[1]5.Employ'!Q314:Q326)*1000</f>
        <v>4030370.628800265</v>
      </c>
      <c r="U64" s="53">
        <f ca="1">SUM('[1]5.Employ'!R314:R326)*1000</f>
        <v>4065063.7945294837</v>
      </c>
      <c r="V64" s="53">
        <f ca="1">SUM('[1]5.Employ'!S314:S326)*1000</f>
        <v>4102137.691033606</v>
      </c>
      <c r="W64" s="53">
        <f ca="1">SUM('[1]5.Employ'!T314:T326)*1000</f>
        <v>4139342.4232299095</v>
      </c>
      <c r="X64" s="150">
        <f ca="1">SUM('[1]5.Employ'!U314:U326)*1000</f>
        <v>4176759.9368015653</v>
      </c>
    </row>
    <row r="65" spans="2:24" s="54" customFormat="1" ht="15" customHeight="1" x14ac:dyDescent="0.25">
      <c r="B65" s="56" t="s">
        <v>325</v>
      </c>
      <c r="C65" s="292"/>
      <c r="N65" s="204"/>
      <c r="O65" s="435"/>
      <c r="P65" s="295"/>
      <c r="Q65" s="295"/>
      <c r="R65" s="295"/>
      <c r="S65" s="295"/>
      <c r="T65" s="295"/>
      <c r="U65" s="295"/>
      <c r="V65" s="295"/>
      <c r="W65" s="295"/>
      <c r="X65" s="300"/>
    </row>
    <row r="66" spans="2:24" s="54" customFormat="1" ht="15" customHeight="1" x14ac:dyDescent="0.25">
      <c r="B66" s="333" t="s">
        <v>340</v>
      </c>
      <c r="C66" s="292" t="s">
        <v>36</v>
      </c>
      <c r="N66" s="204"/>
      <c r="O66" s="435"/>
      <c r="P66" s="243">
        <f>'[1]4.IGVA'!M391</f>
        <v>613.91786519724508</v>
      </c>
      <c r="Q66" s="243">
        <f>'[1]4.IGVA'!N391</f>
        <v>618.011400393283</v>
      </c>
      <c r="R66" s="243">
        <f>'[1]4.IGVA'!O391</f>
        <v>623.9247950589413</v>
      </c>
      <c r="S66" s="243">
        <f>'[1]4.IGVA'!P391</f>
        <v>629.92161538381288</v>
      </c>
      <c r="T66" s="243">
        <f>'[1]4.IGVA'!Q391</f>
        <v>636.00095934784622</v>
      </c>
      <c r="U66" s="243">
        <f>'[1]4.IGVA'!R391</f>
        <v>642.08968500033518</v>
      </c>
      <c r="V66" s="243">
        <f>'[1]4.IGVA'!S391</f>
        <v>648.29395373643865</v>
      </c>
      <c r="W66" s="243">
        <f>'[1]4.IGVA'!T391</f>
        <v>654.54626594139802</v>
      </c>
      <c r="X66" s="252">
        <f>'[1]4.IGVA'!U391</f>
        <v>660.84330224212613</v>
      </c>
    </row>
    <row r="67" spans="2:24" s="54" customFormat="1" ht="15" customHeight="1" x14ac:dyDescent="0.25">
      <c r="B67" s="333" t="s">
        <v>341</v>
      </c>
      <c r="C67" s="292" t="s">
        <v>36</v>
      </c>
      <c r="N67" s="204"/>
      <c r="O67" s="435"/>
      <c r="P67" s="243">
        <f>'[1]4.IGVA'!M392</f>
        <v>134.48965538442303</v>
      </c>
      <c r="Q67" s="243">
        <f>'[1]4.IGVA'!N392</f>
        <v>133.09287492643287</v>
      </c>
      <c r="R67" s="243">
        <f>'[1]4.IGVA'!O392</f>
        <v>135.35538391808694</v>
      </c>
      <c r="S67" s="243">
        <f>'[1]4.IGVA'!P392</f>
        <v>137.11901208246823</v>
      </c>
      <c r="T67" s="243">
        <f>'[1]4.IGVA'!Q392</f>
        <v>139.82964901264185</v>
      </c>
      <c r="U67" s="243">
        <f>'[1]4.IGVA'!R392</f>
        <v>141.64804142481094</v>
      </c>
      <c r="V67" s="243">
        <f>'[1]4.IGVA'!S392</f>
        <v>143.96766439859422</v>
      </c>
      <c r="W67" s="243">
        <f>'[1]4.IGVA'!T392</f>
        <v>146.23365558802129</v>
      </c>
      <c r="X67" s="252">
        <f>'[1]4.IGVA'!U392</f>
        <v>148.58451802935633</v>
      </c>
    </row>
    <row r="68" spans="2:24" s="54" customFormat="1" ht="15" customHeight="1" x14ac:dyDescent="0.25">
      <c r="B68" s="333" t="s">
        <v>342</v>
      </c>
      <c r="C68" s="292" t="s">
        <v>36</v>
      </c>
      <c r="N68" s="204"/>
      <c r="O68" s="435"/>
      <c r="P68" s="243">
        <f>'[1]4.IGVA'!M393</f>
        <v>13.073453132844609</v>
      </c>
      <c r="Q68" s="243">
        <f>'[1]4.IGVA'!N393</f>
        <v>12.914960391166273</v>
      </c>
      <c r="R68" s="243">
        <f>'[1]4.IGVA'!O393</f>
        <v>12.756463328058187</v>
      </c>
      <c r="S68" s="243">
        <f>'[1]4.IGVA'!P393</f>
        <v>12.597961779371799</v>
      </c>
      <c r="T68" s="243">
        <f>'[1]4.IGVA'!Q393</f>
        <v>12.439455423631314</v>
      </c>
      <c r="U68" s="243">
        <f>'[1]4.IGVA'!R393</f>
        <v>12.280940560275171</v>
      </c>
      <c r="V68" s="243">
        <f>'[1]4.IGVA'!S393</f>
        <v>12.122422317719415</v>
      </c>
      <c r="W68" s="243">
        <f>'[1]4.IGVA'!T393</f>
        <v>11.963900192761013</v>
      </c>
      <c r="X68" s="252">
        <f>'[1]4.IGVA'!U393</f>
        <v>11.805373868719778</v>
      </c>
    </row>
    <row r="69" spans="2:24" s="54" customFormat="1" ht="15" customHeight="1" x14ac:dyDescent="0.25">
      <c r="B69" s="333" t="s">
        <v>345</v>
      </c>
      <c r="C69" s="292" t="s">
        <v>36</v>
      </c>
      <c r="N69" s="204"/>
      <c r="O69" s="435"/>
      <c r="P69" s="53">
        <f>SUM(P66:P68)</f>
        <v>761.48097371451274</v>
      </c>
      <c r="Q69" s="53">
        <f>SUM(Q66:Q68)</f>
        <v>764.01923571088207</v>
      </c>
      <c r="R69" s="53">
        <f t="shared" ref="R69:W69" si="20">SUM(R66:R68)</f>
        <v>772.0366423050865</v>
      </c>
      <c r="S69" s="53">
        <f t="shared" si="20"/>
        <v>779.63858924565284</v>
      </c>
      <c r="T69" s="53">
        <f t="shared" si="20"/>
        <v>788.27006378411943</v>
      </c>
      <c r="U69" s="53">
        <f t="shared" si="20"/>
        <v>796.01866698542131</v>
      </c>
      <c r="V69" s="53">
        <f t="shared" si="20"/>
        <v>804.38404045275229</v>
      </c>
      <c r="W69" s="53">
        <f t="shared" si="20"/>
        <v>812.74382172218031</v>
      </c>
      <c r="X69" s="150">
        <f>SUM(X66:X68)</f>
        <v>821.23319414020227</v>
      </c>
    </row>
    <row r="70" spans="2:24" s="54" customFormat="1" ht="15" customHeight="1" x14ac:dyDescent="0.25">
      <c r="B70" s="333" t="s">
        <v>344</v>
      </c>
      <c r="C70" s="292" t="s">
        <v>36</v>
      </c>
      <c r="N70" s="204"/>
      <c r="O70" s="435"/>
      <c r="P70" s="617">
        <f ca="1">SUM('[1]4.IGVA'!M377:M390)</f>
        <v>460784.32638366037</v>
      </c>
      <c r="Q70" s="618">
        <f ca="1">SUM('[1]4.IGVA'!N377:N390)</f>
        <v>472111.06202558283</v>
      </c>
      <c r="R70" s="618">
        <f ca="1">SUM('[1]4.IGVA'!O377:O390)</f>
        <v>483882.35603674618</v>
      </c>
      <c r="S70" s="618">
        <f ca="1">SUM('[1]4.IGVA'!P377:P390)</f>
        <v>496568.86483584309</v>
      </c>
      <c r="T70" s="618">
        <f ca="1">SUM('[1]4.IGVA'!Q377:Q390)</f>
        <v>509286.54483775847</v>
      </c>
      <c r="U70" s="618">
        <f ca="1">SUM('[1]4.IGVA'!R377:R390)</f>
        <v>522397.55565716518</v>
      </c>
      <c r="V70" s="618">
        <f ca="1">SUM('[1]4.IGVA'!S377:S390)</f>
        <v>536378.03676583408</v>
      </c>
      <c r="W70" s="618">
        <f ca="1">SUM('[1]4.IGVA'!T377:T390)</f>
        <v>550847.54943601717</v>
      </c>
      <c r="X70" s="592">
        <f ca="1">SUM('[1]4.IGVA'!U377:U390)</f>
        <v>565616.50329135056</v>
      </c>
    </row>
    <row r="71" spans="2:24" s="54" customFormat="1" ht="15" customHeight="1" x14ac:dyDescent="0.25">
      <c r="B71" s="333" t="s">
        <v>362</v>
      </c>
      <c r="C71" s="292" t="s">
        <v>36</v>
      </c>
      <c r="N71" s="204"/>
      <c r="O71" s="435"/>
      <c r="P71" s="53">
        <f ca="1">P72-P70-P69</f>
        <v>32837.819717760125</v>
      </c>
      <c r="Q71" s="53">
        <f t="shared" ref="Q71:X71" ca="1" si="21">Q72-Q70-Q69</f>
        <v>32851.041054738009</v>
      </c>
      <c r="R71" s="53">
        <f t="shared" ca="1" si="21"/>
        <v>32825.361018339521</v>
      </c>
      <c r="S71" s="53">
        <f t="shared" ca="1" si="21"/>
        <v>32801.172813853562</v>
      </c>
      <c r="T71" s="53">
        <f t="shared" ca="1" si="21"/>
        <v>32856.398926747293</v>
      </c>
      <c r="U71" s="53">
        <f t="shared" ca="1" si="21"/>
        <v>32805.993820986208</v>
      </c>
      <c r="V71" s="53">
        <f t="shared" ca="1" si="21"/>
        <v>32663.482584152393</v>
      </c>
      <c r="W71" s="53">
        <f t="shared" ca="1" si="21"/>
        <v>32522.306231509705</v>
      </c>
      <c r="X71" s="150">
        <f t="shared" ca="1" si="21"/>
        <v>32401.829170163772</v>
      </c>
    </row>
    <row r="72" spans="2:24" s="54" customFormat="1" ht="15" customHeight="1" x14ac:dyDescent="0.25">
      <c r="B72" s="416" t="s">
        <v>364</v>
      </c>
      <c r="C72" s="293" t="s">
        <v>36</v>
      </c>
      <c r="D72" s="242"/>
      <c r="E72" s="242"/>
      <c r="F72" s="242"/>
      <c r="G72" s="242"/>
      <c r="H72" s="242"/>
      <c r="I72" s="242"/>
      <c r="J72" s="242"/>
      <c r="K72" s="242"/>
      <c r="L72" s="242"/>
      <c r="M72" s="242"/>
      <c r="N72" s="425"/>
      <c r="O72" s="440"/>
      <c r="P72" s="615">
        <f ca="1">'[1]3.Macro'!Q19</f>
        <v>494383.62707513501</v>
      </c>
      <c r="Q72" s="615">
        <f ca="1">'[1]3.Macro'!R19</f>
        <v>505726.12231603172</v>
      </c>
      <c r="R72" s="615">
        <f ca="1">'[1]3.Macro'!S19</f>
        <v>517479.75369739078</v>
      </c>
      <c r="S72" s="615">
        <f ca="1">'[1]3.Macro'!T19</f>
        <v>530149.67623894231</v>
      </c>
      <c r="T72" s="615">
        <f ca="1">'[1]3.Macro'!U19</f>
        <v>542931.21382828988</v>
      </c>
      <c r="U72" s="615">
        <f ca="1">'[1]3.Macro'!V19</f>
        <v>555999.56814513681</v>
      </c>
      <c r="V72" s="615">
        <f ca="1">'[1]3.Macro'!W19</f>
        <v>569845.90339043923</v>
      </c>
      <c r="W72" s="615">
        <f ca="1">'[1]3.Macro'!X19</f>
        <v>584182.59948924906</v>
      </c>
      <c r="X72" s="616">
        <f ca="1">'[1]3.Macro'!Y19</f>
        <v>598839.56565565453</v>
      </c>
    </row>
    <row r="73" spans="2:24" s="54" customFormat="1" ht="15" customHeight="1" x14ac:dyDescent="0.25">
      <c r="B73" s="333"/>
      <c r="C73" s="300"/>
      <c r="N73" s="204"/>
      <c r="O73" s="435"/>
      <c r="P73" s="295"/>
      <c r="Q73" s="295"/>
      <c r="R73" s="295"/>
      <c r="S73" s="295"/>
      <c r="T73" s="295"/>
      <c r="U73" s="295"/>
      <c r="V73" s="295"/>
      <c r="W73" s="295"/>
      <c r="X73" s="427"/>
    </row>
    <row r="74" spans="2:24" s="54" customFormat="1" ht="15" customHeight="1" x14ac:dyDescent="0.3">
      <c r="B74" s="335" t="s">
        <v>546</v>
      </c>
      <c r="C74" s="334"/>
      <c r="N74" s="204"/>
      <c r="O74" s="435"/>
      <c r="P74" s="295"/>
      <c r="Q74" s="295"/>
      <c r="R74" s="295"/>
      <c r="S74" s="295"/>
      <c r="T74" s="295"/>
      <c r="U74" s="295"/>
      <c r="V74" s="295"/>
      <c r="W74" s="295"/>
      <c r="X74" s="300"/>
    </row>
    <row r="75" spans="2:24" s="54" customFormat="1" ht="15" customHeight="1" x14ac:dyDescent="0.25">
      <c r="B75" s="56" t="s">
        <v>348</v>
      </c>
      <c r="C75" s="292" t="s">
        <v>36</v>
      </c>
      <c r="N75" s="204"/>
      <c r="O75" s="435"/>
      <c r="P75" s="53">
        <f t="shared" ref="P75:V75" ca="1" si="22">P48-P21</f>
        <v>-30.528599999997823</v>
      </c>
      <c r="Q75" s="53">
        <f t="shared" ca="1" si="22"/>
        <v>-31.179700000000594</v>
      </c>
      <c r="R75" s="53">
        <f t="shared" ca="1" si="22"/>
        <v>-32.174230000000534</v>
      </c>
      <c r="S75" s="53">
        <f t="shared" ca="1" si="22"/>
        <v>-33.315930000000662</v>
      </c>
      <c r="T75" s="53">
        <f t="shared" ca="1" si="22"/>
        <v>-34.78983000000153</v>
      </c>
      <c r="U75" s="53">
        <f t="shared" ca="1" si="22"/>
        <v>-14.694429999999556</v>
      </c>
      <c r="V75" s="53">
        <f t="shared" ca="1" si="22"/>
        <v>-15.344130000001314</v>
      </c>
      <c r="W75" s="53">
        <f t="shared" ref="W75:X75" ca="1" si="23">W48-W21</f>
        <v>-15.854329999994661</v>
      </c>
      <c r="X75" s="150">
        <f t="shared" ca="1" si="23"/>
        <v>-16.295429999998305</v>
      </c>
    </row>
    <row r="76" spans="2:24" s="54" customFormat="1" ht="15" customHeight="1" x14ac:dyDescent="0.25">
      <c r="B76" s="619" t="s">
        <v>549</v>
      </c>
      <c r="C76" s="292" t="s">
        <v>36</v>
      </c>
      <c r="N76" s="204"/>
      <c r="O76" s="435"/>
      <c r="P76" s="53">
        <f ca="1">P75</f>
        <v>-30.528599999997823</v>
      </c>
      <c r="Q76" s="52">
        <f ca="1">Q75-P75</f>
        <v>-0.65110000000277068</v>
      </c>
      <c r="R76" s="52">
        <f t="shared" ref="R76:X76" ca="1" si="24">R75-Q75</f>
        <v>-0.99452999999994063</v>
      </c>
      <c r="S76" s="52">
        <f t="shared" ca="1" si="24"/>
        <v>-1.1417000000001281</v>
      </c>
      <c r="T76" s="52">
        <f t="shared" ca="1" si="24"/>
        <v>-1.4739000000008673</v>
      </c>
      <c r="U76" s="52">
        <f t="shared" ca="1" si="24"/>
        <v>20.095400000001973</v>
      </c>
      <c r="V76" s="52">
        <f t="shared" ca="1" si="24"/>
        <v>-0.64970000000175787</v>
      </c>
      <c r="W76" s="52">
        <f t="shared" ca="1" si="24"/>
        <v>-0.51019999999334686</v>
      </c>
      <c r="X76" s="207">
        <f t="shared" ca="1" si="24"/>
        <v>-0.4411000000036438</v>
      </c>
    </row>
    <row r="77" spans="2:24" s="54" customFormat="1" ht="15" customHeight="1" x14ac:dyDescent="0.25">
      <c r="B77" s="56" t="s">
        <v>333</v>
      </c>
      <c r="C77" s="292"/>
      <c r="N77" s="204"/>
      <c r="O77" s="435"/>
      <c r="P77" s="295"/>
      <c r="Q77" s="295"/>
      <c r="R77" s="295"/>
      <c r="S77" s="295"/>
      <c r="T77" s="295"/>
      <c r="U77" s="295"/>
      <c r="V77" s="295"/>
      <c r="W77" s="295"/>
      <c r="X77" s="300"/>
    </row>
    <row r="78" spans="2:24" s="54" customFormat="1" ht="15" customHeight="1" x14ac:dyDescent="0.25">
      <c r="B78" s="333" t="s">
        <v>334</v>
      </c>
      <c r="C78" s="292" t="s">
        <v>36</v>
      </c>
      <c r="N78" s="204"/>
      <c r="O78" s="435"/>
      <c r="P78" s="53"/>
      <c r="Q78" s="53"/>
      <c r="R78" s="53"/>
      <c r="S78" s="53"/>
      <c r="T78" s="53"/>
      <c r="U78" s="53"/>
      <c r="V78" s="53"/>
      <c r="W78" s="53"/>
      <c r="X78" s="150"/>
    </row>
    <row r="79" spans="2:24" s="54" customFormat="1" ht="15" customHeight="1" x14ac:dyDescent="0.25">
      <c r="B79" s="612" t="s">
        <v>331</v>
      </c>
      <c r="C79" s="292" t="s">
        <v>36</v>
      </c>
      <c r="N79" s="204"/>
      <c r="O79" s="435"/>
      <c r="P79" s="613">
        <f>P15</f>
        <v>30.206846376958822</v>
      </c>
      <c r="Q79" s="613">
        <f t="shared" ref="Q79:X79" si="25">Q15</f>
        <v>60.717069377325231</v>
      </c>
      <c r="R79" s="613">
        <f t="shared" si="25"/>
        <v>91.566823805961207</v>
      </c>
      <c r="S79" s="613">
        <f t="shared" si="25"/>
        <v>122.74310579958529</v>
      </c>
      <c r="T79" s="613">
        <f t="shared" si="25"/>
        <v>154.11942122367265</v>
      </c>
      <c r="U79" s="613">
        <f t="shared" si="25"/>
        <v>169.91064019214218</v>
      </c>
      <c r="V79" s="613">
        <f t="shared" si="25"/>
        <v>185.82567062769911</v>
      </c>
      <c r="W79" s="613">
        <f t="shared" si="25"/>
        <v>201.86510931056495</v>
      </c>
      <c r="X79" s="614">
        <f t="shared" si="25"/>
        <v>218.03237835695515</v>
      </c>
    </row>
    <row r="80" spans="2:24" s="54" customFormat="1" ht="15" customHeight="1" x14ac:dyDescent="0.25">
      <c r="B80" s="333" t="s">
        <v>335</v>
      </c>
      <c r="C80" s="292" t="s">
        <v>36</v>
      </c>
      <c r="N80" s="204"/>
      <c r="O80" s="435"/>
      <c r="P80" s="53"/>
      <c r="Q80" s="53"/>
      <c r="R80" s="53"/>
      <c r="S80" s="53"/>
      <c r="T80" s="53"/>
      <c r="U80" s="53"/>
      <c r="V80" s="53"/>
      <c r="W80" s="53"/>
      <c r="X80" s="150"/>
    </row>
    <row r="81" spans="2:25" s="54" customFormat="1" ht="15" customHeight="1" x14ac:dyDescent="0.25">
      <c r="B81" s="333" t="s">
        <v>345</v>
      </c>
      <c r="C81" s="292" t="s">
        <v>36</v>
      </c>
      <c r="N81" s="204"/>
      <c r="O81" s="435"/>
      <c r="P81" s="53"/>
      <c r="Q81" s="53"/>
      <c r="R81" s="53"/>
      <c r="S81" s="53"/>
      <c r="T81" s="53"/>
      <c r="U81" s="53"/>
      <c r="V81" s="53"/>
      <c r="W81" s="53"/>
      <c r="X81" s="150"/>
    </row>
    <row r="82" spans="2:25" s="54" customFormat="1" ht="15" customHeight="1" x14ac:dyDescent="0.25">
      <c r="B82" s="56" t="s">
        <v>336</v>
      </c>
      <c r="C82" s="292"/>
      <c r="N82" s="204"/>
      <c r="O82" s="435"/>
      <c r="P82" s="295"/>
      <c r="Q82" s="295"/>
      <c r="R82" s="295"/>
      <c r="S82" s="295"/>
      <c r="T82" s="295"/>
      <c r="U82" s="295"/>
      <c r="V82" s="295"/>
      <c r="W82" s="295"/>
      <c r="X82" s="300"/>
    </row>
    <row r="83" spans="2:25" s="54" customFormat="1" ht="15" customHeight="1" x14ac:dyDescent="0.25">
      <c r="B83" s="333" t="s">
        <v>337</v>
      </c>
      <c r="C83" s="292" t="s">
        <v>36</v>
      </c>
      <c r="N83" s="204"/>
      <c r="O83" s="435"/>
      <c r="P83" s="53">
        <f t="shared" ref="P83:X83" si="26">P55-P28</f>
        <v>-9.1804501936671841</v>
      </c>
      <c r="Q83" s="53">
        <f t="shared" si="26"/>
        <v>-19.961652699663773</v>
      </c>
      <c r="R83" s="53">
        <f t="shared" si="26"/>
        <v>-19.64911214354197</v>
      </c>
      <c r="S83" s="53">
        <f t="shared" si="26"/>
        <v>-19.294731335114193</v>
      </c>
      <c r="T83" s="53">
        <f t="shared" si="26"/>
        <v>-18.844515451505686</v>
      </c>
      <c r="U83" s="53">
        <f t="shared" si="26"/>
        <v>-18.717555581150918</v>
      </c>
      <c r="V83" s="53">
        <f t="shared" si="26"/>
        <v>-18.192220336712126</v>
      </c>
      <c r="W83" s="53">
        <f t="shared" si="26"/>
        <v>-17.665876574023059</v>
      </c>
      <c r="X83" s="150">
        <f t="shared" si="26"/>
        <v>-17.129840736997721</v>
      </c>
    </row>
    <row r="84" spans="2:25" s="54" customFormat="1" ht="15" customHeight="1" x14ac:dyDescent="0.25">
      <c r="B84" s="333" t="s">
        <v>338</v>
      </c>
      <c r="C84" s="292" t="s">
        <v>36</v>
      </c>
      <c r="N84" s="204"/>
      <c r="O84" s="435"/>
      <c r="P84" s="53">
        <f t="shared" ref="P84:X84" si="27">P56-P29</f>
        <v>142.54799687192713</v>
      </c>
      <c r="Q84" s="53">
        <f t="shared" si="27"/>
        <v>147.12835636492332</v>
      </c>
      <c r="R84" s="53">
        <f t="shared" si="27"/>
        <v>152.27454350777907</v>
      </c>
      <c r="S84" s="53">
        <f t="shared" si="27"/>
        <v>157.37219329236382</v>
      </c>
      <c r="T84" s="53">
        <f t="shared" si="27"/>
        <v>163.21305522088051</v>
      </c>
      <c r="U84" s="53">
        <f t="shared" si="27"/>
        <v>164.68128227218676</v>
      </c>
      <c r="V84" s="53">
        <f t="shared" si="27"/>
        <v>170.67882141170935</v>
      </c>
      <c r="W84" s="53">
        <f t="shared" si="27"/>
        <v>176.28483136356135</v>
      </c>
      <c r="X84" s="150">
        <f t="shared" si="27"/>
        <v>181.65554833751798</v>
      </c>
      <c r="Y84" s="665">
        <f>U84-T84</f>
        <v>1.4682270513062576</v>
      </c>
    </row>
    <row r="85" spans="2:25" s="54" customFormat="1" ht="15" customHeight="1" x14ac:dyDescent="0.25">
      <c r="B85" s="333" t="s">
        <v>339</v>
      </c>
      <c r="C85" s="292" t="s">
        <v>36</v>
      </c>
      <c r="N85" s="204"/>
      <c r="O85" s="435"/>
      <c r="P85" s="53">
        <f t="shared" ref="P85:X85" si="28">P57-P30</f>
        <v>9.1475043726632066E-3</v>
      </c>
      <c r="Q85" s="53">
        <f t="shared" si="28"/>
        <v>1.8078828611237441E-2</v>
      </c>
      <c r="R85" s="53">
        <f t="shared" si="28"/>
        <v>2.679188833144508E-2</v>
      </c>
      <c r="S85" s="53">
        <f t="shared" si="28"/>
        <v>3.5278392803775205E-2</v>
      </c>
      <c r="T85" s="53">
        <f t="shared" si="28"/>
        <v>4.3522105096940322E-2</v>
      </c>
      <c r="U85" s="53">
        <f t="shared" si="28"/>
        <v>5.1336119178586159E-2</v>
      </c>
      <c r="V85" s="53">
        <f t="shared" si="28"/>
        <v>5.8979458409908148E-2</v>
      </c>
      <c r="W85" s="53">
        <f t="shared" si="28"/>
        <v>6.6426707274786168E-2</v>
      </c>
      <c r="X85" s="150">
        <f t="shared" si="28"/>
        <v>7.3661871055378469E-2</v>
      </c>
    </row>
    <row r="86" spans="2:25" s="54" customFormat="1" ht="15" customHeight="1" x14ac:dyDescent="0.25">
      <c r="B86" s="333" t="s">
        <v>346</v>
      </c>
      <c r="C86" s="292" t="s">
        <v>36</v>
      </c>
      <c r="N86" s="204"/>
      <c r="O86" s="435"/>
      <c r="P86" s="53">
        <f>SUM(P83:P85)</f>
        <v>133.3766941826326</v>
      </c>
      <c r="Q86" s="53">
        <f t="shared" ref="Q86:X86" si="29">SUM(Q83:Q85)</f>
        <v>127.18478249387078</v>
      </c>
      <c r="R86" s="53">
        <f t="shared" si="29"/>
        <v>132.65222325256855</v>
      </c>
      <c r="S86" s="53">
        <f t="shared" si="29"/>
        <v>138.1127403500534</v>
      </c>
      <c r="T86" s="53">
        <f t="shared" si="29"/>
        <v>144.41206187447176</v>
      </c>
      <c r="U86" s="53">
        <f t="shared" si="29"/>
        <v>146.01506281021443</v>
      </c>
      <c r="V86" s="53">
        <f t="shared" si="29"/>
        <v>152.54558053340713</v>
      </c>
      <c r="W86" s="53">
        <f t="shared" si="29"/>
        <v>158.68538149681308</v>
      </c>
      <c r="X86" s="150">
        <f t="shared" si="29"/>
        <v>164.59936947157564</v>
      </c>
    </row>
    <row r="87" spans="2:25" s="54" customFormat="1" ht="15" customHeight="1" x14ac:dyDescent="0.25">
      <c r="B87" s="56" t="s">
        <v>343</v>
      </c>
      <c r="C87" s="292"/>
      <c r="N87" s="204"/>
      <c r="O87" s="435"/>
      <c r="P87" s="295"/>
      <c r="Q87" s="295"/>
      <c r="R87" s="295"/>
      <c r="S87" s="295"/>
      <c r="T87" s="295"/>
      <c r="U87" s="295"/>
      <c r="V87" s="295"/>
      <c r="W87" s="295"/>
      <c r="X87" s="300"/>
    </row>
    <row r="88" spans="2:25" s="54" customFormat="1" ht="15" customHeight="1" x14ac:dyDescent="0.25">
      <c r="B88" s="333" t="s">
        <v>340</v>
      </c>
      <c r="C88" s="292" t="s">
        <v>252</v>
      </c>
      <c r="N88" s="204"/>
      <c r="O88" s="435"/>
      <c r="P88" s="53">
        <f t="shared" ref="P88:X88" si="30">P60-P33</f>
        <v>65.886253898367613</v>
      </c>
      <c r="Q88" s="53">
        <f t="shared" si="30"/>
        <v>65.891430577221399</v>
      </c>
      <c r="R88" s="53">
        <f t="shared" si="30"/>
        <v>66.37394075820157</v>
      </c>
      <c r="S88" s="53">
        <f t="shared" si="30"/>
        <v>66.908044043885639</v>
      </c>
      <c r="T88" s="53">
        <f t="shared" si="30"/>
        <v>68.100400904544586</v>
      </c>
      <c r="U88" s="53">
        <f t="shared" si="30"/>
        <v>66.448717657636735</v>
      </c>
      <c r="V88" s="53">
        <f t="shared" si="30"/>
        <v>67.879882609945525</v>
      </c>
      <c r="W88" s="53">
        <f t="shared" si="30"/>
        <v>69.166984217751633</v>
      </c>
      <c r="X88" s="150">
        <f t="shared" si="30"/>
        <v>70.398302096213229</v>
      </c>
    </row>
    <row r="89" spans="2:25" s="54" customFormat="1" ht="15" customHeight="1" x14ac:dyDescent="0.25">
      <c r="B89" s="333" t="s">
        <v>341</v>
      </c>
      <c r="C89" s="292" t="s">
        <v>252</v>
      </c>
      <c r="N89" s="204"/>
      <c r="O89" s="435"/>
      <c r="P89" s="53">
        <f t="shared" ref="P89:X89" si="31">P61-P34</f>
        <v>587.06551703759317</v>
      </c>
      <c r="Q89" s="53">
        <f t="shared" si="31"/>
        <v>581.29220048967488</v>
      </c>
      <c r="R89" s="53">
        <f t="shared" si="31"/>
        <v>579.92536162795125</v>
      </c>
      <c r="S89" s="53">
        <f t="shared" si="31"/>
        <v>579.05700035381983</v>
      </c>
      <c r="T89" s="53">
        <f t="shared" si="31"/>
        <v>584.17774473422867</v>
      </c>
      <c r="U89" s="53">
        <f t="shared" si="31"/>
        <v>563.90168633897883</v>
      </c>
      <c r="V89" s="53">
        <f t="shared" si="31"/>
        <v>571.30975902046839</v>
      </c>
      <c r="W89" s="53">
        <f t="shared" si="31"/>
        <v>577.36203989347609</v>
      </c>
      <c r="X89" s="150">
        <f t="shared" si="31"/>
        <v>582.86584781203851</v>
      </c>
      <c r="Y89" s="665"/>
    </row>
    <row r="90" spans="2:25" s="54" customFormat="1" ht="15" customHeight="1" x14ac:dyDescent="0.25">
      <c r="B90" s="333" t="s">
        <v>342</v>
      </c>
      <c r="C90" s="292" t="s">
        <v>252</v>
      </c>
      <c r="N90" s="204"/>
      <c r="O90" s="435"/>
      <c r="P90" s="53">
        <f t="shared" ref="P90:X90" si="32">P62-P35</f>
        <v>0</v>
      </c>
      <c r="Q90" s="53">
        <f t="shared" si="32"/>
        <v>0</v>
      </c>
      <c r="R90" s="53">
        <f t="shared" si="32"/>
        <v>0</v>
      </c>
      <c r="S90" s="53">
        <f t="shared" si="32"/>
        <v>0</v>
      </c>
      <c r="T90" s="53">
        <f t="shared" si="32"/>
        <v>0</v>
      </c>
      <c r="U90" s="53">
        <f t="shared" si="32"/>
        <v>0</v>
      </c>
      <c r="V90" s="53">
        <f t="shared" si="32"/>
        <v>0</v>
      </c>
      <c r="W90" s="53">
        <f t="shared" si="32"/>
        <v>0</v>
      </c>
      <c r="X90" s="150">
        <f t="shared" si="32"/>
        <v>0</v>
      </c>
    </row>
    <row r="91" spans="2:25" s="54" customFormat="1" ht="15" customHeight="1" x14ac:dyDescent="0.25">
      <c r="B91" s="333" t="s">
        <v>345</v>
      </c>
      <c r="C91" s="292" t="s">
        <v>252</v>
      </c>
      <c r="N91" s="204"/>
      <c r="O91" s="435"/>
      <c r="P91" s="53">
        <f>P63-P36</f>
        <v>652.95177093596067</v>
      </c>
      <c r="Q91" s="53">
        <f t="shared" ref="Q91:X91" si="33">Q63-Q36</f>
        <v>647.18363106689685</v>
      </c>
      <c r="R91" s="53">
        <f t="shared" si="33"/>
        <v>646.2993023861527</v>
      </c>
      <c r="S91" s="53">
        <f t="shared" si="33"/>
        <v>645.96504439770524</v>
      </c>
      <c r="T91" s="53">
        <f t="shared" si="33"/>
        <v>652.27814563877382</v>
      </c>
      <c r="U91" s="53">
        <f t="shared" si="33"/>
        <v>630.35040399661557</v>
      </c>
      <c r="V91" s="53">
        <f t="shared" si="33"/>
        <v>639.18964163041346</v>
      </c>
      <c r="W91" s="53">
        <f t="shared" si="33"/>
        <v>646.52902411122795</v>
      </c>
      <c r="X91" s="150">
        <f t="shared" si="33"/>
        <v>653.26414990825197</v>
      </c>
    </row>
    <row r="92" spans="2:25" s="54" customFormat="1" ht="15" customHeight="1" x14ac:dyDescent="0.25">
      <c r="B92" s="333" t="s">
        <v>344</v>
      </c>
      <c r="C92" s="292" t="s">
        <v>252</v>
      </c>
      <c r="N92" s="204"/>
      <c r="O92" s="435"/>
      <c r="P92" s="53">
        <f ca="1">P64-P37</f>
        <v>-160.86622266704217</v>
      </c>
      <c r="Q92" s="53">
        <f t="shared" ref="Q92:W92" ca="1" si="34">Q64-Q37</f>
        <v>-373.51204168284312</v>
      </c>
      <c r="R92" s="53">
        <f t="shared" ca="1" si="34"/>
        <v>-497.05541097745299</v>
      </c>
      <c r="S92" s="53">
        <f t="shared" ca="1" si="34"/>
        <v>-566.13784803822637</v>
      </c>
      <c r="T92" s="53">
        <f t="shared" ca="1" si="34"/>
        <v>-611.32221403904259</v>
      </c>
      <c r="U92" s="53">
        <f t="shared" ca="1" si="34"/>
        <v>-996.39088488416746</v>
      </c>
      <c r="V92" s="53">
        <f t="shared" ca="1" si="34"/>
        <v>-842.54967355402187</v>
      </c>
      <c r="W92" s="53">
        <f t="shared" ca="1" si="34"/>
        <v>-758.06987927155569</v>
      </c>
      <c r="X92" s="150">
        <f ca="1">X64-X37</f>
        <v>-712.5841497965157</v>
      </c>
    </row>
    <row r="93" spans="2:25" s="54" customFormat="1" ht="15" customHeight="1" x14ac:dyDescent="0.25">
      <c r="B93" s="56" t="s">
        <v>325</v>
      </c>
      <c r="C93" s="292"/>
      <c r="N93" s="204"/>
      <c r="O93" s="435"/>
      <c r="P93" s="295"/>
      <c r="Q93" s="295"/>
      <c r="R93" s="295"/>
      <c r="S93" s="295"/>
      <c r="T93" s="295"/>
      <c r="U93" s="295"/>
      <c r="V93" s="295"/>
      <c r="W93" s="295"/>
      <c r="X93" s="300"/>
    </row>
    <row r="94" spans="2:25" s="54" customFormat="1" ht="15" customHeight="1" x14ac:dyDescent="0.25">
      <c r="B94" s="333" t="s">
        <v>340</v>
      </c>
      <c r="C94" s="292" t="s">
        <v>36</v>
      </c>
      <c r="N94" s="204"/>
      <c r="O94" s="435"/>
      <c r="P94" s="53">
        <f>P66-P39</f>
        <v>1.849930859737924</v>
      </c>
      <c r="Q94" s="53">
        <f t="shared" ref="Q94:X94" si="35">Q66-Q39</f>
        <v>1.9789317712104548</v>
      </c>
      <c r="R94" s="53">
        <f t="shared" si="35"/>
        <v>2.1160177247562615</v>
      </c>
      <c r="S94" s="53">
        <f t="shared" si="35"/>
        <v>2.2539332001474577</v>
      </c>
      <c r="T94" s="53">
        <f t="shared" si="35"/>
        <v>2.4017976538372068</v>
      </c>
      <c r="U94" s="53">
        <f t="shared" si="35"/>
        <v>2.4947705871607013</v>
      </c>
      <c r="V94" s="53">
        <f t="shared" si="35"/>
        <v>2.645967231779764</v>
      </c>
      <c r="W94" s="53">
        <f t="shared" si="35"/>
        <v>2.793770967807518</v>
      </c>
      <c r="X94" s="150">
        <f t="shared" si="35"/>
        <v>2.9398837511391775</v>
      </c>
    </row>
    <row r="95" spans="2:25" s="54" customFormat="1" ht="15" customHeight="1" x14ac:dyDescent="0.25">
      <c r="B95" s="333" t="s">
        <v>341</v>
      </c>
      <c r="C95" s="292" t="s">
        <v>36</v>
      </c>
      <c r="N95" s="204"/>
      <c r="O95" s="435"/>
      <c r="P95" s="53">
        <f>P67-P40</f>
        <v>16.017537973539206</v>
      </c>
      <c r="Q95" s="53">
        <f t="shared" ref="Q95:X95" si="36">Q67-Q40</f>
        <v>16.532214319201501</v>
      </c>
      <c r="R95" s="53">
        <f t="shared" si="36"/>
        <v>17.110470413909667</v>
      </c>
      <c r="S95" s="53">
        <f t="shared" si="36"/>
        <v>17.683272563306048</v>
      </c>
      <c r="T95" s="53">
        <f t="shared" si="36"/>
        <v>18.339586435063026</v>
      </c>
      <c r="U95" s="53">
        <f t="shared" si="36"/>
        <v>18.504565130408764</v>
      </c>
      <c r="V95" s="53">
        <f t="shared" si="36"/>
        <v>19.178484182399373</v>
      </c>
      <c r="W95" s="53">
        <f t="shared" si="36"/>
        <v>19.808408693822031</v>
      </c>
      <c r="X95" s="150">
        <f t="shared" si="36"/>
        <v>20.411894291397772</v>
      </c>
    </row>
    <row r="96" spans="2:25" s="54" customFormat="1" ht="15" customHeight="1" x14ac:dyDescent="0.25">
      <c r="B96" s="333" t="s">
        <v>342</v>
      </c>
      <c r="C96" s="292" t="s">
        <v>36</v>
      </c>
      <c r="N96" s="204"/>
      <c r="O96" s="435"/>
      <c r="P96" s="53">
        <f>P68-P41</f>
        <v>1.8111188126823663E-4</v>
      </c>
      <c r="Q96" s="53">
        <f t="shared" ref="Q96:X96" si="37">Q68-Q41</f>
        <v>3.5794360161034433E-4</v>
      </c>
      <c r="R96" s="53">
        <f t="shared" si="37"/>
        <v>5.3045389220152117E-4</v>
      </c>
      <c r="S96" s="53">
        <f t="shared" si="37"/>
        <v>6.9847860448923882E-4</v>
      </c>
      <c r="T96" s="53">
        <f t="shared" si="37"/>
        <v>8.6169626268528532E-4</v>
      </c>
      <c r="U96" s="53">
        <f t="shared" si="37"/>
        <v>1.0164063052187089E-3</v>
      </c>
      <c r="V96" s="53">
        <f t="shared" si="37"/>
        <v>1.1677371481404464E-3</v>
      </c>
      <c r="W96" s="53">
        <f t="shared" si="37"/>
        <v>1.3151855884157015E-3</v>
      </c>
      <c r="X96" s="150">
        <f t="shared" si="37"/>
        <v>1.4584349458584001E-3</v>
      </c>
    </row>
    <row r="97" spans="2:24" s="54" customFormat="1" ht="15" customHeight="1" x14ac:dyDescent="0.25">
      <c r="B97" s="333" t="s">
        <v>345</v>
      </c>
      <c r="C97" s="292" t="s">
        <v>36</v>
      </c>
      <c r="N97" s="204"/>
      <c r="O97" s="435"/>
      <c r="P97" s="53">
        <f>SUM(P94:P96)</f>
        <v>17.867649945158398</v>
      </c>
      <c r="Q97" s="53">
        <f t="shared" ref="Q97:X97" si="38">SUM(Q94:Q96)</f>
        <v>18.511504034013566</v>
      </c>
      <c r="R97" s="53">
        <f t="shared" si="38"/>
        <v>19.227018592558132</v>
      </c>
      <c r="S97" s="53">
        <f t="shared" si="38"/>
        <v>19.937904242057996</v>
      </c>
      <c r="T97" s="53">
        <f t="shared" si="38"/>
        <v>20.742245785162918</v>
      </c>
      <c r="U97" s="53">
        <f t="shared" si="38"/>
        <v>21.000352123874684</v>
      </c>
      <c r="V97" s="53">
        <f t="shared" si="38"/>
        <v>21.825619151327277</v>
      </c>
      <c r="W97" s="53">
        <f t="shared" si="38"/>
        <v>22.603494847217966</v>
      </c>
      <c r="X97" s="150">
        <f t="shared" si="38"/>
        <v>23.35323647748281</v>
      </c>
    </row>
    <row r="98" spans="2:24" s="54" customFormat="1" ht="15" customHeight="1" x14ac:dyDescent="0.25">
      <c r="B98" s="333" t="s">
        <v>344</v>
      </c>
      <c r="C98" s="292" t="s">
        <v>36</v>
      </c>
      <c r="N98" s="204"/>
      <c r="O98" s="435"/>
      <c r="P98" s="53">
        <f ca="1">P70-P43</f>
        <v>6.8261509300209582</v>
      </c>
      <c r="Q98" s="53">
        <f t="shared" ref="Q98:X98" ca="1" si="39">Q70-Q43</f>
        <v>-6.2356214137398638</v>
      </c>
      <c r="R98" s="53">
        <f t="shared" ca="1" si="39"/>
        <v>-14.902589936507866</v>
      </c>
      <c r="S98" s="53">
        <f t="shared" ca="1" si="39"/>
        <v>-20.976365885639098</v>
      </c>
      <c r="T98" s="53">
        <f t="shared" ca="1" si="39"/>
        <v>-25.647357647365425</v>
      </c>
      <c r="U98" s="53">
        <f t="shared" ca="1" si="39"/>
        <v>-56.45607125305105</v>
      </c>
      <c r="V98" s="53">
        <f t="shared" ca="1" si="39"/>
        <v>-48.097084070788696</v>
      </c>
      <c r="W98" s="53">
        <f t="shared" ca="1" si="39"/>
        <v>-43.855704137589782</v>
      </c>
      <c r="X98" s="150">
        <f t="shared" ca="1" si="39"/>
        <v>-41.891833520727232</v>
      </c>
    </row>
    <row r="99" spans="2:24" s="54" customFormat="1" ht="12.75" customHeight="1" x14ac:dyDescent="0.25">
      <c r="B99" s="333" t="s">
        <v>362</v>
      </c>
      <c r="C99" s="292" t="s">
        <v>36</v>
      </c>
      <c r="N99" s="204"/>
      <c r="O99" s="435"/>
      <c r="P99" s="53">
        <f ca="1">P71-P44</f>
        <v>13.66646117279015</v>
      </c>
      <c r="Q99" s="53">
        <f t="shared" ref="Q99:X99" ca="1" si="40">Q71-Q44</f>
        <v>11.985805827396689</v>
      </c>
      <c r="R99" s="53">
        <f t="shared" ca="1" si="40"/>
        <v>10.639941836736398</v>
      </c>
      <c r="S99" s="53">
        <f t="shared" ca="1" si="40"/>
        <v>9.8491619416381582</v>
      </c>
      <c r="T99" s="53">
        <f t="shared" ca="1" si="40"/>
        <v>8.8388796678918879</v>
      </c>
      <c r="U99" s="53">
        <f t="shared" ca="1" si="40"/>
        <v>5.2254613541226718</v>
      </c>
      <c r="V99" s="53">
        <f t="shared" ca="1" si="40"/>
        <v>6.3533609081314353</v>
      </c>
      <c r="W99" s="53">
        <f t="shared" ca="1" si="40"/>
        <v>7.1584983106949949</v>
      </c>
      <c r="X99" s="150">
        <f t="shared" ca="1" si="40"/>
        <v>7.7132985810676473</v>
      </c>
    </row>
    <row r="100" spans="2:24" s="54" customFormat="1" ht="15" customHeight="1" x14ac:dyDescent="0.25">
      <c r="B100" s="416" t="s">
        <v>364</v>
      </c>
      <c r="C100" s="293" t="s">
        <v>36</v>
      </c>
      <c r="D100" s="242"/>
      <c r="E100" s="242"/>
      <c r="F100" s="242"/>
      <c r="G100" s="242"/>
      <c r="H100" s="242"/>
      <c r="I100" s="242"/>
      <c r="J100" s="242"/>
      <c r="K100" s="242"/>
      <c r="L100" s="242"/>
      <c r="M100" s="242"/>
      <c r="N100" s="425"/>
      <c r="O100" s="440"/>
      <c r="P100" s="78">
        <f ca="1">P72-P45</f>
        <v>38.36026204796508</v>
      </c>
      <c r="Q100" s="78">
        <f t="shared" ref="Q100:X100" ca="1" si="41">Q72-Q45</f>
        <v>24.261688447673805</v>
      </c>
      <c r="R100" s="78">
        <f t="shared" ca="1" si="41"/>
        <v>14.964370492787566</v>
      </c>
      <c r="S100" s="78">
        <f t="shared" ca="1" si="41"/>
        <v>8.8107002980541438</v>
      </c>
      <c r="T100" s="78">
        <f t="shared" ca="1" si="41"/>
        <v>3.9337678056908771</v>
      </c>
      <c r="U100" s="78">
        <f t="shared" ca="1" si="41"/>
        <v>-30.230257775052451</v>
      </c>
      <c r="V100" s="78">
        <f t="shared" ca="1" si="41"/>
        <v>-19.918104011332616</v>
      </c>
      <c r="W100" s="78">
        <f t="shared" ca="1" si="41"/>
        <v>-14.093710979679599</v>
      </c>
      <c r="X100" s="231">
        <f t="shared" ca="1" si="41"/>
        <v>-10.825298462179489</v>
      </c>
    </row>
    <row r="101" spans="2:24" s="54" customFormat="1" ht="15" customHeight="1" x14ac:dyDescent="0.25">
      <c r="B101" s="508" t="s">
        <v>548</v>
      </c>
      <c r="C101" s="509"/>
      <c r="D101" s="510"/>
      <c r="E101" s="510"/>
      <c r="F101" s="510"/>
      <c r="G101" s="510"/>
      <c r="H101" s="510"/>
      <c r="I101" s="510"/>
      <c r="J101" s="510"/>
      <c r="K101" s="510"/>
      <c r="L101" s="510"/>
      <c r="M101" s="510"/>
      <c r="N101" s="511"/>
      <c r="O101" s="512"/>
      <c r="P101" s="338">
        <f ca="1">P100</f>
        <v>38.36026204796508</v>
      </c>
      <c r="Q101" s="339">
        <f ca="1">Q100-P100</f>
        <v>-14.098573600291274</v>
      </c>
      <c r="R101" s="339">
        <f t="shared" ref="R101:X101" ca="1" si="42">R100-Q100</f>
        <v>-9.297317954886239</v>
      </c>
      <c r="S101" s="339">
        <f t="shared" ca="1" si="42"/>
        <v>-6.1536701947334222</v>
      </c>
      <c r="T101" s="339">
        <f t="shared" ca="1" si="42"/>
        <v>-4.8769324923632666</v>
      </c>
      <c r="U101" s="339">
        <f t="shared" ca="1" si="42"/>
        <v>-34.164025580743328</v>
      </c>
      <c r="V101" s="339">
        <f t="shared" ca="1" si="42"/>
        <v>10.312153763719834</v>
      </c>
      <c r="W101" s="339">
        <f t="shared" ca="1" si="42"/>
        <v>5.8243930316530168</v>
      </c>
      <c r="X101" s="287">
        <f t="shared" ca="1" si="42"/>
        <v>3.26841251750011</v>
      </c>
    </row>
    <row r="102" spans="2:24" s="54" customFormat="1" ht="15" customHeight="1" x14ac:dyDescent="0.25">
      <c r="B102" s="333"/>
      <c r="C102" s="300"/>
      <c r="N102" s="204"/>
      <c r="O102" s="204"/>
      <c r="P102" s="295"/>
      <c r="Q102" s="295"/>
      <c r="R102" s="295"/>
      <c r="S102" s="295"/>
      <c r="T102" s="295"/>
      <c r="U102" s="295"/>
      <c r="V102" s="295"/>
      <c r="W102" s="295"/>
      <c r="X102" s="300"/>
    </row>
    <row r="103" spans="2:24" s="54" customFormat="1" ht="15" customHeight="1" x14ac:dyDescent="0.3">
      <c r="B103" s="335" t="s">
        <v>422</v>
      </c>
      <c r="C103" s="334"/>
      <c r="N103" s="204"/>
      <c r="O103" s="435"/>
      <c r="P103" s="295"/>
      <c r="Q103" s="295"/>
      <c r="R103" s="295"/>
      <c r="S103" s="295"/>
      <c r="T103" s="295"/>
      <c r="U103" s="295"/>
      <c r="V103" s="295"/>
      <c r="W103" s="295"/>
      <c r="X103" s="300"/>
    </row>
    <row r="104" spans="2:24" s="54" customFormat="1" ht="15" customHeight="1" x14ac:dyDescent="0.25">
      <c r="B104" s="56" t="s">
        <v>348</v>
      </c>
      <c r="C104" s="292" t="s">
        <v>34</v>
      </c>
      <c r="N104" s="204"/>
      <c r="O104" s="435"/>
      <c r="P104" s="52">
        <f ca="1">(P48/P21-1)*100</f>
        <v>-0.11273053028981739</v>
      </c>
      <c r="Q104" s="52">
        <f t="shared" ref="Q104:X104" ca="1" si="43">(Q48/Q21-1)*100</f>
        <v>-0.11147367615691461</v>
      </c>
      <c r="R104" s="52">
        <f t="shared" ca="1" si="43"/>
        <v>-0.11148428198592963</v>
      </c>
      <c r="S104" s="52">
        <f t="shared" ca="1" si="43"/>
        <v>-0.11198895436195233</v>
      </c>
      <c r="T104" s="52">
        <f t="shared" ca="1" si="43"/>
        <v>-0.1135485751363019</v>
      </c>
      <c r="U104" s="52">
        <f t="shared" ca="1" si="43"/>
        <v>-4.6607348229232848E-2</v>
      </c>
      <c r="V104" s="52">
        <f t="shared" ca="1" si="43"/>
        <v>-4.7332772731822903E-2</v>
      </c>
      <c r="W104" s="52">
        <f t="shared" ca="1" si="43"/>
        <v>-4.7600623052568292E-2</v>
      </c>
      <c r="X104" s="207">
        <f t="shared" ca="1" si="43"/>
        <v>-4.7652472190051753E-2</v>
      </c>
    </row>
    <row r="105" spans="2:24" s="54" customFormat="1" ht="15" customHeight="1" x14ac:dyDescent="0.25">
      <c r="B105" s="56" t="s">
        <v>333</v>
      </c>
      <c r="C105" s="292"/>
      <c r="N105" s="204"/>
      <c r="O105" s="435"/>
      <c r="P105" s="52"/>
      <c r="Q105" s="52"/>
      <c r="R105" s="52"/>
      <c r="S105" s="52"/>
      <c r="T105" s="52"/>
      <c r="U105" s="52"/>
      <c r="V105" s="52"/>
      <c r="W105" s="52"/>
      <c r="X105" s="207"/>
    </row>
    <row r="106" spans="2:24" s="54" customFormat="1" ht="15" customHeight="1" x14ac:dyDescent="0.25">
      <c r="B106" s="333" t="s">
        <v>334</v>
      </c>
      <c r="C106" s="292" t="s">
        <v>34</v>
      </c>
      <c r="N106" s="204"/>
      <c r="O106" s="435"/>
      <c r="P106" s="52"/>
      <c r="Q106" s="52"/>
      <c r="R106" s="52"/>
      <c r="S106" s="52"/>
      <c r="T106" s="52"/>
      <c r="U106" s="52"/>
      <c r="V106" s="52"/>
      <c r="W106" s="52"/>
      <c r="X106" s="207"/>
    </row>
    <row r="107" spans="2:24" s="54" customFormat="1" ht="15" customHeight="1" x14ac:dyDescent="0.25">
      <c r="B107" s="333" t="s">
        <v>331</v>
      </c>
      <c r="C107" s="292" t="s">
        <v>34</v>
      </c>
      <c r="N107" s="204"/>
      <c r="O107" s="435"/>
      <c r="P107" s="52"/>
      <c r="Q107" s="52"/>
      <c r="R107" s="52"/>
      <c r="S107" s="52"/>
      <c r="T107" s="52"/>
      <c r="U107" s="52"/>
      <c r="V107" s="52"/>
      <c r="W107" s="52"/>
      <c r="X107" s="207"/>
    </row>
    <row r="108" spans="2:24" s="54" customFormat="1" ht="15" customHeight="1" x14ac:dyDescent="0.25">
      <c r="B108" s="333" t="s">
        <v>335</v>
      </c>
      <c r="C108" s="292" t="s">
        <v>34</v>
      </c>
      <c r="N108" s="204"/>
      <c r="O108" s="435"/>
      <c r="P108" s="52"/>
      <c r="Q108" s="52"/>
      <c r="R108" s="52"/>
      <c r="S108" s="52"/>
      <c r="T108" s="52"/>
      <c r="U108" s="52"/>
      <c r="V108" s="52"/>
      <c r="W108" s="52"/>
      <c r="X108" s="207"/>
    </row>
    <row r="109" spans="2:24" s="54" customFormat="1" ht="15" customHeight="1" x14ac:dyDescent="0.25">
      <c r="B109" s="333" t="s">
        <v>345</v>
      </c>
      <c r="C109" s="292" t="s">
        <v>34</v>
      </c>
      <c r="N109" s="204"/>
      <c r="O109" s="435"/>
      <c r="P109" s="52"/>
      <c r="Q109" s="52"/>
      <c r="R109" s="52"/>
      <c r="S109" s="52"/>
      <c r="T109" s="52"/>
      <c r="U109" s="52"/>
      <c r="V109" s="52"/>
      <c r="W109" s="52"/>
      <c r="X109" s="207"/>
    </row>
    <row r="110" spans="2:24" s="54" customFormat="1" ht="15" customHeight="1" x14ac:dyDescent="0.25">
      <c r="B110" s="56" t="s">
        <v>336</v>
      </c>
      <c r="C110" s="292"/>
      <c r="N110" s="204"/>
      <c r="O110" s="435"/>
      <c r="P110" s="52"/>
      <c r="Q110" s="52"/>
      <c r="R110" s="52"/>
      <c r="S110" s="52"/>
      <c r="T110" s="52"/>
      <c r="U110" s="52"/>
      <c r="V110" s="52"/>
      <c r="W110" s="52"/>
      <c r="X110" s="207"/>
    </row>
    <row r="111" spans="2:24" s="54" customFormat="1" ht="15" customHeight="1" x14ac:dyDescent="0.25">
      <c r="B111" s="333" t="s">
        <v>337</v>
      </c>
      <c r="C111" s="292" t="s">
        <v>34</v>
      </c>
      <c r="N111" s="204"/>
      <c r="O111" s="435"/>
      <c r="P111" s="52">
        <f>(P55/P28-1)*100</f>
        <v>-0.23286281433702039</v>
      </c>
      <c r="Q111" s="52">
        <f t="shared" ref="Q111:X111" si="44">(Q55/Q28-1)*100</f>
        <v>-0.50162011397442141</v>
      </c>
      <c r="R111" s="52">
        <f t="shared" si="44"/>
        <v>-0.48914774587380805</v>
      </c>
      <c r="S111" s="52">
        <f t="shared" si="44"/>
        <v>-0.47581679906607555</v>
      </c>
      <c r="T111" s="52">
        <f t="shared" si="44"/>
        <v>-0.46034376489471063</v>
      </c>
      <c r="U111" s="52">
        <f t="shared" si="44"/>
        <v>-0.45294013001172528</v>
      </c>
      <c r="V111" s="52">
        <f t="shared" si="44"/>
        <v>-0.43608847664637906</v>
      </c>
      <c r="W111" s="52">
        <f t="shared" si="44"/>
        <v>-0.41949625261771262</v>
      </c>
      <c r="X111" s="207">
        <f t="shared" si="44"/>
        <v>-0.40295838337197631</v>
      </c>
    </row>
    <row r="112" spans="2:24" s="54" customFormat="1" ht="15" customHeight="1" x14ac:dyDescent="0.25">
      <c r="B112" s="333" t="s">
        <v>338</v>
      </c>
      <c r="C112" s="292" t="s">
        <v>34</v>
      </c>
      <c r="N112" s="204"/>
      <c r="O112" s="435"/>
      <c r="P112" s="52">
        <f t="shared" ref="P112:X112" si="45">(P56/P29-1)*100</f>
        <v>13.520090907118099</v>
      </c>
      <c r="Q112" s="52">
        <f t="shared" si="45"/>
        <v>14.183356745814347</v>
      </c>
      <c r="R112" s="52">
        <f t="shared" si="45"/>
        <v>14.47036486123794</v>
      </c>
      <c r="S112" s="52">
        <f t="shared" si="45"/>
        <v>14.80567930043164</v>
      </c>
      <c r="T112" s="52">
        <f t="shared" si="45"/>
        <v>15.095544479905154</v>
      </c>
      <c r="U112" s="52">
        <f t="shared" si="45"/>
        <v>15.026833485006886</v>
      </c>
      <c r="V112" s="52">
        <f t="shared" si="45"/>
        <v>15.368707566772223</v>
      </c>
      <c r="W112" s="52">
        <f t="shared" si="45"/>
        <v>15.668079897363363</v>
      </c>
      <c r="X112" s="207">
        <f t="shared" si="45"/>
        <v>15.925315169586218</v>
      </c>
    </row>
    <row r="113" spans="1:24" s="54" customFormat="1" ht="15" customHeight="1" x14ac:dyDescent="0.25">
      <c r="B113" s="333" t="s">
        <v>339</v>
      </c>
      <c r="C113" s="292" t="s">
        <v>34</v>
      </c>
      <c r="N113" s="204"/>
      <c r="O113" s="435"/>
      <c r="P113" s="52">
        <f t="shared" ref="P113:X113" si="46">(P57/P30-1)*100</f>
        <v>1.3853599999835708E-3</v>
      </c>
      <c r="Q113" s="52">
        <f t="shared" si="46"/>
        <v>2.7716192044113797E-3</v>
      </c>
      <c r="R113" s="52">
        <f t="shared" si="46"/>
        <v>4.158487642058617E-3</v>
      </c>
      <c r="S113" s="52">
        <f t="shared" si="46"/>
        <v>5.544685284508688E-3</v>
      </c>
      <c r="T113" s="52">
        <f t="shared" si="46"/>
        <v>6.9276019586395066E-3</v>
      </c>
      <c r="U113" s="52">
        <f t="shared" si="46"/>
        <v>8.2769754313982702E-3</v>
      </c>
      <c r="V113" s="52">
        <f t="shared" si="46"/>
        <v>9.633797725938642E-3</v>
      </c>
      <c r="W113" s="52">
        <f t="shared" si="46"/>
        <v>1.0994158767752005E-2</v>
      </c>
      <c r="X113" s="207">
        <f t="shared" si="46"/>
        <v>1.235551842133642E-2</v>
      </c>
    </row>
    <row r="114" spans="1:24" s="54" customFormat="1" ht="15" customHeight="1" x14ac:dyDescent="0.25">
      <c r="B114" s="333" t="s">
        <v>346</v>
      </c>
      <c r="C114" s="292" t="s">
        <v>34</v>
      </c>
      <c r="N114" s="204"/>
      <c r="O114" s="435"/>
      <c r="P114" s="52">
        <f t="shared" ref="P114:X114" si="47">(P58/P31-1)*100</f>
        <v>2.3576997839044989</v>
      </c>
      <c r="Q114" s="52">
        <f t="shared" si="47"/>
        <v>2.2434932526712581</v>
      </c>
      <c r="R114" s="52">
        <f t="shared" si="47"/>
        <v>2.3216926531528737</v>
      </c>
      <c r="S114" s="52">
        <f t="shared" si="47"/>
        <v>2.4001868854397701</v>
      </c>
      <c r="T114" s="52">
        <f t="shared" si="47"/>
        <v>2.4885687403547241</v>
      </c>
      <c r="U114" s="52">
        <f t="shared" si="47"/>
        <v>2.4965816152303644</v>
      </c>
      <c r="V114" s="52">
        <f t="shared" si="47"/>
        <v>2.5879502342641025</v>
      </c>
      <c r="W114" s="52">
        <f t="shared" si="47"/>
        <v>2.671231447139677</v>
      </c>
      <c r="X114" s="207">
        <f t="shared" si="47"/>
        <v>2.7488767354464372</v>
      </c>
    </row>
    <row r="115" spans="1:24" s="54" customFormat="1" ht="15" customHeight="1" x14ac:dyDescent="0.25">
      <c r="B115" s="56" t="s">
        <v>343</v>
      </c>
      <c r="C115" s="292"/>
      <c r="N115" s="204"/>
      <c r="O115" s="435"/>
      <c r="P115" s="52"/>
      <c r="Q115" s="52"/>
      <c r="R115" s="52"/>
      <c r="S115" s="52"/>
      <c r="T115" s="52"/>
      <c r="U115" s="52"/>
      <c r="V115" s="52"/>
      <c r="W115" s="52"/>
      <c r="X115" s="207"/>
    </row>
    <row r="116" spans="1:24" s="54" customFormat="1" ht="15" customHeight="1" x14ac:dyDescent="0.25">
      <c r="B116" s="333" t="s">
        <v>340</v>
      </c>
      <c r="C116" s="292" t="s">
        <v>34</v>
      </c>
      <c r="N116" s="204"/>
      <c r="O116" s="435"/>
      <c r="P116" s="40">
        <f t="shared" ref="P116:X116" si="48">(P60/P33-1)*100</f>
        <v>1.2917404463131943</v>
      </c>
      <c r="Q116" s="40">
        <f t="shared" si="48"/>
        <v>1.2835281692567868</v>
      </c>
      <c r="R116" s="40">
        <f t="shared" si="48"/>
        <v>1.2809165167575465</v>
      </c>
      <c r="S116" s="40">
        <f t="shared" si="48"/>
        <v>1.2791710932741784</v>
      </c>
      <c r="T116" s="40">
        <f t="shared" si="48"/>
        <v>1.2897785354463398</v>
      </c>
      <c r="U116" s="40">
        <f t="shared" si="48"/>
        <v>1.2466991771629576</v>
      </c>
      <c r="V116" s="40">
        <f t="shared" si="48"/>
        <v>1.2616106663123627</v>
      </c>
      <c r="W116" s="40">
        <f t="shared" si="48"/>
        <v>1.2734919625851049</v>
      </c>
      <c r="X116" s="25">
        <f t="shared" si="48"/>
        <v>1.2840446101152425</v>
      </c>
    </row>
    <row r="117" spans="1:24" s="54" customFormat="1" ht="15" customHeight="1" x14ac:dyDescent="0.25">
      <c r="B117" s="333" t="s">
        <v>341</v>
      </c>
      <c r="C117" s="292" t="s">
        <v>34</v>
      </c>
      <c r="N117" s="204"/>
      <c r="O117" s="435"/>
      <c r="P117" s="40">
        <f>(P61/P34-1)*100</f>
        <v>59.463664180310531</v>
      </c>
      <c r="Q117" s="40">
        <f t="shared" ref="Q117:X117" si="49">(Q61/Q34-1)*100</f>
        <v>59.844430955836067</v>
      </c>
      <c r="R117" s="40">
        <f t="shared" si="49"/>
        <v>58.853308216844091</v>
      </c>
      <c r="S117" s="40">
        <f t="shared" si="49"/>
        <v>58.179268887358425</v>
      </c>
      <c r="T117" s="40">
        <f t="shared" si="49"/>
        <v>57.701286739681649</v>
      </c>
      <c r="U117" s="40">
        <f t="shared" si="49"/>
        <v>54.950700107654441</v>
      </c>
      <c r="V117" s="40">
        <f t="shared" si="49"/>
        <v>54.938393668170768</v>
      </c>
      <c r="W117" s="40">
        <f t="shared" si="49"/>
        <v>54.801905860779485</v>
      </c>
      <c r="X117" s="25">
        <f t="shared" si="49"/>
        <v>54.570078771611044</v>
      </c>
    </row>
    <row r="118" spans="1:24" s="54" customFormat="1" ht="15" customHeight="1" x14ac:dyDescent="0.25">
      <c r="B118" s="333" t="s">
        <v>342</v>
      </c>
      <c r="C118" s="292" t="s">
        <v>34</v>
      </c>
      <c r="N118" s="204"/>
      <c r="O118" s="435"/>
      <c r="P118" s="40">
        <f>(P62/P35-1)*100</f>
        <v>0</v>
      </c>
      <c r="Q118" s="40">
        <f t="shared" ref="Q118:X118" si="50">(Q62/Q35-1)*100</f>
        <v>0</v>
      </c>
      <c r="R118" s="40">
        <f t="shared" si="50"/>
        <v>0</v>
      </c>
      <c r="S118" s="40">
        <f t="shared" si="50"/>
        <v>0</v>
      </c>
      <c r="T118" s="40">
        <f t="shared" si="50"/>
        <v>0</v>
      </c>
      <c r="U118" s="40">
        <f t="shared" si="50"/>
        <v>0</v>
      </c>
      <c r="V118" s="40">
        <f t="shared" si="50"/>
        <v>0</v>
      </c>
      <c r="W118" s="40">
        <f t="shared" si="50"/>
        <v>0</v>
      </c>
      <c r="X118" s="25">
        <f t="shared" si="50"/>
        <v>0</v>
      </c>
    </row>
    <row r="119" spans="1:24" s="54" customFormat="1" ht="15" customHeight="1" x14ac:dyDescent="0.25">
      <c r="B119" s="333" t="s">
        <v>345</v>
      </c>
      <c r="C119" s="292" t="s">
        <v>34</v>
      </c>
      <c r="N119" s="204"/>
      <c r="O119" s="435"/>
      <c r="P119" s="40">
        <f>(P63/P36-1)*100</f>
        <v>10.533631392441167</v>
      </c>
      <c r="Q119" s="40">
        <f t="shared" ref="Q119:X119" si="51">(Q63/Q36-1)*100</f>
        <v>10.414095052407024</v>
      </c>
      <c r="R119" s="40">
        <f t="shared" si="51"/>
        <v>10.299060802708816</v>
      </c>
      <c r="S119" s="40">
        <f t="shared" si="51"/>
        <v>10.200428188657407</v>
      </c>
      <c r="T119" s="40">
        <f t="shared" si="51"/>
        <v>10.195147570402385</v>
      </c>
      <c r="U119" s="40">
        <f t="shared" si="51"/>
        <v>9.7572555722463363</v>
      </c>
      <c r="V119" s="40">
        <f t="shared" si="51"/>
        <v>9.7988096523020864</v>
      </c>
      <c r="W119" s="40">
        <f t="shared" si="51"/>
        <v>9.8162783736289949</v>
      </c>
      <c r="X119" s="25">
        <f t="shared" si="51"/>
        <v>9.8223863704480543</v>
      </c>
    </row>
    <row r="120" spans="1:24" s="54" customFormat="1" ht="15" customHeight="1" x14ac:dyDescent="0.25">
      <c r="B120" s="333" t="s">
        <v>344</v>
      </c>
      <c r="C120" s="292" t="s">
        <v>34</v>
      </c>
      <c r="N120" s="204"/>
      <c r="O120" s="435"/>
      <c r="P120" s="52">
        <f ca="1">(P64/P37-1)*100</f>
        <v>-4.1515439773598395E-3</v>
      </c>
      <c r="Q120" s="52">
        <f t="shared" ref="Q120:X120" ca="1" si="52">(Q64/Q37-1)*100</f>
        <v>-9.535223939316495E-3</v>
      </c>
      <c r="R120" s="52">
        <f t="shared" ca="1" si="52"/>
        <v>-1.2562929575832271E-2</v>
      </c>
      <c r="S120" s="52">
        <f t="shared" ca="1" si="52"/>
        <v>-1.417295805066221E-2</v>
      </c>
      <c r="T120" s="52">
        <f t="shared" ca="1" si="52"/>
        <v>-1.5165590455823441E-2</v>
      </c>
      <c r="U120" s="52">
        <f t="shared" ca="1" si="52"/>
        <v>-2.4505069759128695E-2</v>
      </c>
      <c r="V120" s="52">
        <f t="shared" ca="1" si="52"/>
        <v>-2.0535065345783643E-2</v>
      </c>
      <c r="W120" s="52">
        <f t="shared" ca="1" si="52"/>
        <v>-1.8310422187417519E-2</v>
      </c>
      <c r="X120" s="207">
        <f t="shared" ca="1" si="52"/>
        <v>-1.7057781857876542E-2</v>
      </c>
    </row>
    <row r="121" spans="1:24" s="54" customFormat="1" ht="15" customHeight="1" x14ac:dyDescent="0.25">
      <c r="B121" s="56" t="s">
        <v>325</v>
      </c>
      <c r="C121" s="292"/>
      <c r="N121" s="204"/>
      <c r="O121" s="435"/>
      <c r="P121" s="52"/>
      <c r="Q121" s="52"/>
      <c r="R121" s="52"/>
      <c r="S121" s="52"/>
      <c r="T121" s="52"/>
      <c r="U121" s="52"/>
      <c r="V121" s="52"/>
      <c r="W121" s="52"/>
      <c r="X121" s="207"/>
    </row>
    <row r="122" spans="1:24" s="54" customFormat="1" ht="15" customHeight="1" x14ac:dyDescent="0.25">
      <c r="B122" s="333" t="s">
        <v>340</v>
      </c>
      <c r="C122" s="292" t="s">
        <v>34</v>
      </c>
      <c r="N122" s="204"/>
      <c r="O122" s="435"/>
      <c r="P122" s="52">
        <f t="shared" ref="P122:X122" si="53">(P66/P39-1)*100</f>
        <v>0.30224273417300829</v>
      </c>
      <c r="Q122" s="52">
        <f t="shared" si="53"/>
        <v>0.32123822558198789</v>
      </c>
      <c r="R122" s="52">
        <f t="shared" si="53"/>
        <v>0.34030039489438835</v>
      </c>
      <c r="S122" s="52">
        <f t="shared" si="53"/>
        <v>0.3590965831323345</v>
      </c>
      <c r="T122" s="52">
        <f t="shared" si="53"/>
        <v>0.3790721009503395</v>
      </c>
      <c r="U122" s="52">
        <f t="shared" si="53"/>
        <v>0.39005478795115511</v>
      </c>
      <c r="V122" s="52">
        <f t="shared" si="53"/>
        <v>0.40981576448557711</v>
      </c>
      <c r="W122" s="52">
        <f t="shared" si="53"/>
        <v>0.42865520106996069</v>
      </c>
      <c r="X122" s="207">
        <f t="shared" si="53"/>
        <v>0.44685643340816039</v>
      </c>
    </row>
    <row r="123" spans="1:24" s="54" customFormat="1" ht="15" customHeight="1" x14ac:dyDescent="0.25">
      <c r="B123" s="333" t="s">
        <v>341</v>
      </c>
      <c r="C123" s="292" t="s">
        <v>34</v>
      </c>
      <c r="N123" s="204"/>
      <c r="O123" s="435"/>
      <c r="P123" s="52">
        <f t="shared" ref="P123:W123" si="54">(P67/P40-1)*100</f>
        <v>13.520090907118121</v>
      </c>
      <c r="Q123" s="52">
        <f t="shared" si="54"/>
        <v>14.183356745814324</v>
      </c>
      <c r="R123" s="52">
        <f t="shared" si="54"/>
        <v>14.47036486123794</v>
      </c>
      <c r="S123" s="52">
        <f t="shared" si="54"/>
        <v>14.80567930043164</v>
      </c>
      <c r="T123" s="52">
        <f t="shared" si="54"/>
        <v>15.095544479905154</v>
      </c>
      <c r="U123" s="52">
        <f t="shared" si="54"/>
        <v>15.026833485006907</v>
      </c>
      <c r="V123" s="52">
        <f t="shared" si="54"/>
        <v>15.368707566772223</v>
      </c>
      <c r="W123" s="52">
        <f t="shared" si="54"/>
        <v>15.668079897363363</v>
      </c>
      <c r="X123" s="207">
        <f>(X67/X40-1)*100</f>
        <v>15.925315169586218</v>
      </c>
    </row>
    <row r="124" spans="1:24" s="54" customFormat="1" ht="15" customHeight="1" x14ac:dyDescent="0.25">
      <c r="B124" s="333" t="s">
        <v>342</v>
      </c>
      <c r="C124" s="292" t="s">
        <v>34</v>
      </c>
      <c r="N124" s="204"/>
      <c r="O124" s="435"/>
      <c r="P124" s="52">
        <f t="shared" ref="P124:X124" si="55">(P68/P41-1)*100</f>
        <v>1.3853599999835708E-3</v>
      </c>
      <c r="Q124" s="52">
        <f t="shared" si="55"/>
        <v>2.7716192044113797E-3</v>
      </c>
      <c r="R124" s="52">
        <f t="shared" si="55"/>
        <v>4.158487642058617E-3</v>
      </c>
      <c r="S124" s="52">
        <f t="shared" si="55"/>
        <v>5.544685284508688E-3</v>
      </c>
      <c r="T124" s="52">
        <f t="shared" si="55"/>
        <v>6.9276019586395066E-3</v>
      </c>
      <c r="U124" s="52">
        <f t="shared" si="55"/>
        <v>8.2769754313982702E-3</v>
      </c>
      <c r="V124" s="52">
        <f t="shared" si="55"/>
        <v>9.6337977259608465E-3</v>
      </c>
      <c r="W124" s="52">
        <f t="shared" si="55"/>
        <v>1.0994158767752005E-2</v>
      </c>
      <c r="X124" s="207">
        <f t="shared" si="55"/>
        <v>1.235551842133642E-2</v>
      </c>
    </row>
    <row r="125" spans="1:24" s="54" customFormat="1" ht="15" customHeight="1" x14ac:dyDescent="0.25">
      <c r="B125" s="333" t="s">
        <v>345</v>
      </c>
      <c r="C125" s="292" t="s">
        <v>34</v>
      </c>
      <c r="N125" s="204"/>
      <c r="O125" s="435"/>
      <c r="P125" s="52">
        <f>(P69/P42-1)*100</f>
        <v>2.4028146583748411</v>
      </c>
      <c r="Q125" s="52">
        <f t="shared" ref="Q125:X125" si="56">(Q69/Q42-1)*100</f>
        <v>2.4830733803894445</v>
      </c>
      <c r="R125" s="52">
        <f t="shared" si="56"/>
        <v>2.5540346439434369</v>
      </c>
      <c r="S125" s="52">
        <f t="shared" si="56"/>
        <v>2.6244420514065503</v>
      </c>
      <c r="T125" s="52">
        <f t="shared" si="56"/>
        <v>2.7024747896748247</v>
      </c>
      <c r="U125" s="52">
        <f t="shared" si="56"/>
        <v>2.7096588198210814</v>
      </c>
      <c r="V125" s="52">
        <f t="shared" si="56"/>
        <v>2.7890082781334646</v>
      </c>
      <c r="W125" s="52">
        <f t="shared" si="56"/>
        <v>2.8606937373536701</v>
      </c>
      <c r="X125" s="207">
        <f t="shared" si="56"/>
        <v>2.9269110288085098</v>
      </c>
    </row>
    <row r="126" spans="1:24" s="54" customFormat="1" ht="15" customHeight="1" x14ac:dyDescent="0.25">
      <c r="B126" s="333" t="s">
        <v>344</v>
      </c>
      <c r="C126" s="292" t="s">
        <v>34</v>
      </c>
      <c r="N126" s="204"/>
      <c r="O126" s="435"/>
      <c r="P126" s="52">
        <f t="shared" ref="P126:X126" ca="1" si="57">(P70/P43-1)*100</f>
        <v>1.481441894757296E-3</v>
      </c>
      <c r="Q126" s="52">
        <f t="shared" ca="1" si="57"/>
        <v>-1.3207780025892291E-3</v>
      </c>
      <c r="R126" s="52">
        <f t="shared" ca="1" si="57"/>
        <v>-3.0797012528616108E-3</v>
      </c>
      <c r="S126" s="52">
        <f t="shared" ca="1" si="57"/>
        <v>-4.2240827631268019E-3</v>
      </c>
      <c r="T126" s="52">
        <f t="shared" ca="1" si="57"/>
        <v>-5.0356849964239281E-3</v>
      </c>
      <c r="U126" s="52">
        <f t="shared" ca="1" si="57"/>
        <v>-1.0805940807356862E-2</v>
      </c>
      <c r="V126" s="52">
        <f t="shared" ca="1" si="57"/>
        <v>-8.9662082131569676E-3</v>
      </c>
      <c r="W126" s="52">
        <f t="shared" ca="1" si="57"/>
        <v>-7.9608619282134363E-3</v>
      </c>
      <c r="X126" s="207">
        <f t="shared" ca="1" si="57"/>
        <v>-7.4058537594012819E-3</v>
      </c>
    </row>
    <row r="127" spans="1:24" s="54" customFormat="1" ht="15" customHeight="1" x14ac:dyDescent="0.25">
      <c r="B127" s="333" t="s">
        <v>362</v>
      </c>
      <c r="C127" s="292" t="s">
        <v>34</v>
      </c>
      <c r="N127" s="204"/>
      <c r="O127" s="435"/>
      <c r="P127" s="52">
        <f t="shared" ref="P127:X127" ca="1" si="58">(P71/P44-1)*100</f>
        <v>4.163538070871553E-2</v>
      </c>
      <c r="Q127" s="52">
        <f t="shared" ca="1" si="58"/>
        <v>3.6498631694947825E-2</v>
      </c>
      <c r="R127" s="52">
        <f t="shared" ca="1" si="58"/>
        <v>3.2424294608301985E-2</v>
      </c>
      <c r="S127" s="52">
        <f t="shared" ca="1" si="58"/>
        <v>3.0035877923650922E-2</v>
      </c>
      <c r="T127" s="52">
        <f t="shared" ca="1" si="58"/>
        <v>2.6908786087065373E-2</v>
      </c>
      <c r="U127" s="52">
        <f t="shared" ca="1" si="58"/>
        <v>1.593091142508829E-2</v>
      </c>
      <c r="V127" s="52">
        <f t="shared" ca="1" si="58"/>
        <v>1.9454744061242479E-2</v>
      </c>
      <c r="W127" s="52">
        <f t="shared" ca="1" si="58"/>
        <v>2.2015887393256328E-2</v>
      </c>
      <c r="X127" s="207">
        <f t="shared" ca="1" si="58"/>
        <v>2.3810801355539368E-2</v>
      </c>
    </row>
    <row r="128" spans="1:24" s="54" customFormat="1" ht="15" customHeight="1" x14ac:dyDescent="0.25">
      <c r="A128" s="242"/>
      <c r="B128" s="416" t="s">
        <v>364</v>
      </c>
      <c r="C128" s="293" t="s">
        <v>34</v>
      </c>
      <c r="D128" s="242"/>
      <c r="E128" s="242"/>
      <c r="F128" s="242"/>
      <c r="G128" s="242"/>
      <c r="H128" s="242"/>
      <c r="I128" s="242"/>
      <c r="J128" s="242"/>
      <c r="K128" s="242"/>
      <c r="L128" s="242"/>
      <c r="M128" s="242"/>
      <c r="N128" s="425"/>
      <c r="O128" s="440"/>
      <c r="P128" s="441">
        <f ca="1">(P72/P45-1)*100</f>
        <v>7.7598117395272226E-3</v>
      </c>
      <c r="Q128" s="441">
        <f t="shared" ref="Q128:X128" ca="1" si="59">(Q72/Q45-1)*100</f>
        <v>4.7976268898075602E-3</v>
      </c>
      <c r="R128" s="441">
        <f t="shared" ca="1" si="59"/>
        <v>2.8918625578855384E-3</v>
      </c>
      <c r="S128" s="441">
        <f t="shared" ca="1" si="59"/>
        <v>1.6619545616602949E-3</v>
      </c>
      <c r="T128" s="441">
        <f t="shared" ca="1" si="59"/>
        <v>7.2454782622521918E-4</v>
      </c>
      <c r="U128" s="441">
        <f t="shared" ca="1" si="59"/>
        <v>-5.4368053406306238E-3</v>
      </c>
      <c r="V128" s="441">
        <f t="shared" ca="1" si="59"/>
        <v>-3.4952269920451862E-3</v>
      </c>
      <c r="W128" s="441">
        <f t="shared" ca="1" si="59"/>
        <v>-2.4124941383152354E-3</v>
      </c>
      <c r="X128" s="442">
        <f t="shared" ca="1" si="59"/>
        <v>-1.8076799524036069E-3</v>
      </c>
    </row>
    <row r="129" spans="2:24" s="54" customFormat="1" ht="15" customHeight="1" x14ac:dyDescent="0.25">
      <c r="B129" s="333" t="s">
        <v>548</v>
      </c>
      <c r="C129" s="295"/>
      <c r="P129" s="529">
        <f ca="1">P128</f>
        <v>7.7598117395272226E-3</v>
      </c>
      <c r="Q129" s="530">
        <f ca="1">Q128-P128</f>
        <v>-2.9621848497196623E-3</v>
      </c>
      <c r="R129" s="530">
        <f t="shared" ref="R129" ca="1" si="60">R128-Q128</f>
        <v>-1.9057643319220219E-3</v>
      </c>
      <c r="S129" s="530">
        <f t="shared" ref="S129" ca="1" si="61">S128-R128</f>
        <v>-1.2299079962252435E-3</v>
      </c>
      <c r="T129" s="530">
        <f t="shared" ref="T129" ca="1" si="62">T128-S128</f>
        <v>-9.3740673543507569E-4</v>
      </c>
      <c r="U129" s="530">
        <f t="shared" ref="U129" ca="1" si="63">U128-T128</f>
        <v>-6.161353166855843E-3</v>
      </c>
      <c r="V129" s="530">
        <f t="shared" ref="V129" ca="1" si="64">V128-U128</f>
        <v>1.9415783485854377E-3</v>
      </c>
      <c r="W129" s="530">
        <f t="shared" ref="W129" ca="1" si="65">W128-V128</f>
        <v>1.0827328537299508E-3</v>
      </c>
      <c r="X129" s="531">
        <f t="shared" ref="X129" ca="1" si="66">X128-W128</f>
        <v>6.048141859116285E-4</v>
      </c>
    </row>
    <row r="130" spans="2:24" s="54" customFormat="1" ht="15" customHeight="1" x14ac:dyDescent="0.25">
      <c r="B130" s="333"/>
      <c r="C130" s="295"/>
      <c r="P130" s="295"/>
      <c r="Q130" s="295"/>
      <c r="R130" s="295"/>
      <c r="S130" s="295"/>
      <c r="T130" s="295"/>
      <c r="U130" s="295"/>
      <c r="V130" s="295"/>
      <c r="W130" s="295"/>
      <c r="X130" s="295"/>
    </row>
    <row r="131" spans="2:24" s="54" customFormat="1" ht="15" customHeight="1" x14ac:dyDescent="0.25">
      <c r="B131" s="333"/>
      <c r="C131" s="295"/>
      <c r="P131" s="295"/>
      <c r="Q131" s="295"/>
      <c r="R131" s="295"/>
      <c r="S131" s="295"/>
      <c r="T131" s="295"/>
      <c r="U131" s="295"/>
      <c r="V131" s="295"/>
      <c r="W131" s="295"/>
      <c r="X131" s="295"/>
    </row>
    <row r="132" spans="2:24" s="54" customFormat="1" ht="15" customHeight="1" x14ac:dyDescent="0.25">
      <c r="B132" s="333"/>
      <c r="C132" s="295"/>
      <c r="P132" s="295"/>
      <c r="Q132" s="295"/>
      <c r="R132" s="295"/>
      <c r="S132" s="295"/>
      <c r="T132" s="295"/>
      <c r="U132" s="295"/>
      <c r="V132" s="295"/>
      <c r="W132" s="295"/>
      <c r="X132" s="295"/>
    </row>
    <row r="133" spans="2:24" s="54" customFormat="1" ht="15" customHeight="1" x14ac:dyDescent="0.25">
      <c r="B133" s="333"/>
      <c r="C133" s="295"/>
      <c r="P133" s="295"/>
      <c r="Q133" s="295"/>
      <c r="R133" s="295"/>
      <c r="S133" s="295"/>
      <c r="T133" s="295"/>
      <c r="U133" s="295"/>
      <c r="V133" s="295"/>
      <c r="W133" s="295"/>
      <c r="X133" s="295"/>
    </row>
    <row r="134" spans="2:24" s="54" customFormat="1" ht="15" customHeight="1" x14ac:dyDescent="0.25">
      <c r="B134" s="333"/>
      <c r="C134" s="295"/>
      <c r="P134" s="295"/>
      <c r="Q134" s="295"/>
      <c r="R134" s="295"/>
      <c r="S134" s="295"/>
      <c r="T134" s="295"/>
      <c r="U134" s="295"/>
      <c r="V134" s="295"/>
      <c r="W134" s="295"/>
      <c r="X134" s="295"/>
    </row>
    <row r="135" spans="2:24" s="54" customFormat="1" ht="15" customHeight="1" x14ac:dyDescent="0.25">
      <c r="B135" s="333"/>
      <c r="C135" s="295"/>
      <c r="P135" s="295"/>
      <c r="Q135" s="295"/>
      <c r="R135" s="295"/>
      <c r="S135" s="295"/>
      <c r="T135" s="295"/>
      <c r="U135" s="295"/>
      <c r="V135" s="295"/>
      <c r="W135" s="295"/>
      <c r="X135" s="295"/>
    </row>
    <row r="136" spans="2:24" s="54" customFormat="1" ht="15" customHeight="1" x14ac:dyDescent="0.25">
      <c r="B136" s="333"/>
      <c r="C136" s="295"/>
      <c r="P136" s="295"/>
      <c r="Q136" s="295"/>
      <c r="R136" s="295"/>
      <c r="S136" s="295"/>
      <c r="T136" s="295"/>
      <c r="U136" s="295"/>
      <c r="V136" s="295"/>
      <c r="W136" s="295"/>
      <c r="X136" s="295"/>
    </row>
    <row r="137" spans="2:24" s="54" customFormat="1" ht="15" customHeight="1" x14ac:dyDescent="0.25">
      <c r="B137" s="333"/>
      <c r="C137" s="295"/>
      <c r="P137" s="295"/>
      <c r="Q137" s="295"/>
      <c r="R137" s="295"/>
      <c r="S137" s="295"/>
      <c r="T137" s="295"/>
      <c r="U137" s="295"/>
      <c r="V137" s="295"/>
      <c r="W137" s="295"/>
      <c r="X137" s="295"/>
    </row>
    <row r="138" spans="2:24" s="54" customFormat="1" ht="15" customHeight="1" x14ac:dyDescent="0.25">
      <c r="B138" s="333"/>
      <c r="C138" s="295"/>
      <c r="P138" s="295"/>
      <c r="Q138" s="295"/>
      <c r="R138" s="295"/>
      <c r="S138" s="295"/>
      <c r="T138" s="295"/>
      <c r="U138" s="295"/>
      <c r="V138" s="295"/>
      <c r="W138" s="295"/>
      <c r="X138" s="295"/>
    </row>
    <row r="139" spans="2:24" s="54" customFormat="1" ht="15" customHeight="1" x14ac:dyDescent="0.25">
      <c r="B139" s="333"/>
      <c r="C139" s="295"/>
      <c r="P139" s="295"/>
      <c r="Q139" s="295"/>
      <c r="R139" s="295"/>
      <c r="S139" s="295"/>
      <c r="T139" s="295"/>
      <c r="U139" s="295"/>
      <c r="V139" s="295"/>
      <c r="W139" s="295"/>
      <c r="X139" s="295"/>
    </row>
    <row r="140" spans="2:24" s="54" customFormat="1" ht="15" customHeight="1" x14ac:dyDescent="0.25">
      <c r="B140" s="333"/>
      <c r="C140" s="295"/>
      <c r="P140" s="295"/>
      <c r="Q140" s="295"/>
      <c r="R140" s="295"/>
      <c r="S140" s="295"/>
      <c r="T140" s="295"/>
      <c r="U140" s="295"/>
      <c r="V140" s="295"/>
      <c r="W140" s="295"/>
      <c r="X140" s="295"/>
    </row>
    <row r="141" spans="2:24" s="54" customFormat="1" ht="15" customHeight="1" x14ac:dyDescent="0.25">
      <c r="B141" s="333"/>
      <c r="C141" s="295"/>
      <c r="P141" s="295"/>
      <c r="Q141" s="295"/>
      <c r="R141" s="295"/>
      <c r="S141" s="295"/>
      <c r="T141" s="295"/>
      <c r="U141" s="295"/>
      <c r="V141" s="295"/>
      <c r="W141" s="295"/>
      <c r="X141" s="295"/>
    </row>
    <row r="142" spans="2:24" s="54" customFormat="1" ht="15" customHeight="1" x14ac:dyDescent="0.25">
      <c r="B142" s="333"/>
      <c r="C142" s="295"/>
      <c r="P142" s="295"/>
      <c r="Q142" s="295"/>
      <c r="R142" s="295"/>
      <c r="S142" s="295"/>
      <c r="T142" s="295"/>
      <c r="U142" s="295"/>
      <c r="V142" s="295"/>
      <c r="W142" s="295"/>
      <c r="X142" s="295"/>
    </row>
    <row r="143" spans="2:24" s="54" customFormat="1" ht="15" customHeight="1" x14ac:dyDescent="0.25">
      <c r="B143" s="333"/>
      <c r="C143" s="295"/>
      <c r="P143" s="295"/>
      <c r="Q143" s="295"/>
      <c r="R143" s="295"/>
      <c r="S143" s="295"/>
      <c r="T143" s="295"/>
      <c r="U143" s="295"/>
      <c r="V143" s="295"/>
      <c r="W143" s="295"/>
      <c r="X143" s="295"/>
    </row>
    <row r="144" spans="2:24" s="54" customFormat="1" ht="15" customHeight="1" x14ac:dyDescent="0.25">
      <c r="B144" s="333"/>
      <c r="C144" s="295"/>
      <c r="P144" s="295"/>
      <c r="Q144" s="295"/>
      <c r="R144" s="295"/>
      <c r="S144" s="295"/>
      <c r="T144" s="295"/>
      <c r="U144" s="295"/>
      <c r="V144" s="295"/>
      <c r="W144" s="295"/>
      <c r="X144" s="295"/>
    </row>
    <row r="145" spans="2:24" s="54" customFormat="1" ht="15" customHeight="1" x14ac:dyDescent="0.25">
      <c r="B145" s="333"/>
      <c r="C145" s="295"/>
      <c r="P145" s="295"/>
      <c r="Q145" s="295"/>
      <c r="R145" s="295"/>
      <c r="S145" s="295"/>
      <c r="T145" s="295"/>
      <c r="U145" s="295"/>
      <c r="V145" s="295"/>
      <c r="W145" s="295"/>
      <c r="X145" s="295"/>
    </row>
    <row r="146" spans="2:24" s="54" customFormat="1" ht="15" customHeight="1" x14ac:dyDescent="0.25">
      <c r="B146" s="333"/>
      <c r="C146" s="295"/>
      <c r="P146" s="295"/>
      <c r="Q146" s="295"/>
      <c r="R146" s="295"/>
      <c r="S146" s="295"/>
      <c r="T146" s="295"/>
      <c r="U146" s="295"/>
      <c r="V146" s="295"/>
      <c r="W146" s="295"/>
      <c r="X146" s="295"/>
    </row>
    <row r="147" spans="2:24" s="54" customFormat="1" ht="15" customHeight="1" x14ac:dyDescent="0.25">
      <c r="B147" s="333"/>
      <c r="C147" s="295"/>
      <c r="P147" s="295"/>
      <c r="Q147" s="295"/>
      <c r="R147" s="295"/>
      <c r="S147" s="295"/>
      <c r="T147" s="295"/>
      <c r="U147" s="295"/>
      <c r="V147" s="295"/>
      <c r="W147" s="295"/>
      <c r="X147" s="295"/>
    </row>
    <row r="148" spans="2:24" s="54" customFormat="1" ht="15" customHeight="1" x14ac:dyDescent="0.25">
      <c r="B148" s="333"/>
      <c r="C148" s="295"/>
      <c r="P148" s="295"/>
      <c r="Q148" s="295"/>
      <c r="R148" s="295"/>
      <c r="S148" s="295"/>
      <c r="T148" s="295"/>
      <c r="U148" s="295"/>
      <c r="V148" s="295"/>
      <c r="W148" s="295"/>
      <c r="X148" s="295"/>
    </row>
    <row r="149" spans="2:24" s="54" customFormat="1" ht="15" customHeight="1" x14ac:dyDescent="0.25">
      <c r="B149" s="333"/>
      <c r="C149" s="295"/>
      <c r="P149" s="295"/>
      <c r="Q149" s="295"/>
      <c r="R149" s="295"/>
      <c r="S149" s="295"/>
      <c r="T149" s="295"/>
      <c r="U149" s="295"/>
      <c r="V149" s="295"/>
      <c r="W149" s="295"/>
      <c r="X149" s="295"/>
    </row>
    <row r="150" spans="2:24" s="54" customFormat="1" ht="15" customHeight="1" x14ac:dyDescent="0.25">
      <c r="B150" s="333"/>
      <c r="C150" s="295"/>
      <c r="P150" s="295"/>
      <c r="Q150" s="295"/>
      <c r="R150" s="295"/>
      <c r="S150" s="295"/>
      <c r="T150" s="295"/>
      <c r="U150" s="295"/>
      <c r="V150" s="295"/>
      <c r="W150" s="295"/>
      <c r="X150" s="295"/>
    </row>
    <row r="151" spans="2:24" s="54" customFormat="1" ht="15" customHeight="1" x14ac:dyDescent="0.25">
      <c r="B151" s="333"/>
      <c r="C151" s="295"/>
      <c r="P151" s="295"/>
      <c r="Q151" s="295"/>
      <c r="R151" s="295"/>
      <c r="S151" s="295"/>
      <c r="T151" s="295"/>
      <c r="U151" s="295"/>
      <c r="V151" s="295"/>
      <c r="W151" s="295"/>
      <c r="X151" s="295"/>
    </row>
    <row r="152" spans="2:24" s="54" customFormat="1" ht="15" customHeight="1" x14ac:dyDescent="0.25">
      <c r="B152" s="333"/>
      <c r="C152" s="295"/>
      <c r="P152" s="295"/>
      <c r="Q152" s="295"/>
      <c r="R152" s="295"/>
      <c r="S152" s="295"/>
      <c r="T152" s="295"/>
      <c r="U152" s="295"/>
      <c r="V152" s="295"/>
      <c r="W152" s="295"/>
      <c r="X152" s="295"/>
    </row>
    <row r="153" spans="2:24" s="54" customFormat="1" ht="15" customHeight="1" x14ac:dyDescent="0.25">
      <c r="B153" s="333"/>
      <c r="C153" s="295"/>
      <c r="P153" s="295"/>
      <c r="Q153" s="295"/>
      <c r="R153" s="295"/>
      <c r="S153" s="295"/>
      <c r="T153" s="295"/>
      <c r="U153" s="295"/>
      <c r="V153" s="295"/>
      <c r="W153" s="295"/>
      <c r="X153" s="295"/>
    </row>
    <row r="154" spans="2:24" s="54" customFormat="1" ht="15" customHeight="1" x14ac:dyDescent="0.25">
      <c r="B154" s="333"/>
      <c r="C154" s="295"/>
      <c r="P154" s="295"/>
      <c r="Q154" s="295"/>
      <c r="R154" s="295"/>
      <c r="S154" s="295"/>
      <c r="T154" s="295"/>
      <c r="U154" s="295"/>
      <c r="V154" s="295"/>
      <c r="W154" s="295"/>
      <c r="X154" s="295"/>
    </row>
    <row r="155" spans="2:24" s="54" customFormat="1" ht="15" customHeight="1" x14ac:dyDescent="0.25">
      <c r="B155" s="333"/>
      <c r="C155" s="295"/>
      <c r="P155" s="295"/>
      <c r="Q155" s="295"/>
      <c r="R155" s="295"/>
      <c r="S155" s="295"/>
      <c r="T155" s="295"/>
      <c r="U155" s="295"/>
      <c r="V155" s="295"/>
      <c r="W155" s="295"/>
      <c r="X155" s="295"/>
    </row>
    <row r="156" spans="2:24" s="54" customFormat="1" ht="15" customHeight="1" x14ac:dyDescent="0.25">
      <c r="B156" s="333"/>
      <c r="C156" s="295"/>
      <c r="P156" s="295"/>
      <c r="Q156" s="295"/>
      <c r="R156" s="295"/>
      <c r="S156" s="295"/>
      <c r="T156" s="295"/>
      <c r="U156" s="295"/>
      <c r="V156" s="295"/>
      <c r="W156" s="295"/>
      <c r="X156" s="295"/>
    </row>
    <row r="157" spans="2:24" s="54" customFormat="1" ht="15" customHeight="1" x14ac:dyDescent="0.25">
      <c r="B157" s="333"/>
      <c r="C157" s="295"/>
      <c r="P157" s="295"/>
      <c r="Q157" s="295"/>
      <c r="R157" s="295"/>
      <c r="S157" s="295"/>
      <c r="T157" s="295"/>
      <c r="U157" s="295"/>
      <c r="V157" s="295"/>
      <c r="W157" s="295"/>
      <c r="X157" s="295"/>
    </row>
    <row r="158" spans="2:24" s="54" customFormat="1" ht="15" customHeight="1" x14ac:dyDescent="0.25">
      <c r="B158" s="333"/>
      <c r="C158" s="295"/>
      <c r="P158" s="295"/>
      <c r="Q158" s="295"/>
      <c r="R158" s="295"/>
      <c r="S158" s="295"/>
      <c r="T158" s="295"/>
      <c r="U158" s="295"/>
      <c r="V158" s="295"/>
      <c r="W158" s="295"/>
      <c r="X158" s="295"/>
    </row>
    <row r="159" spans="2:24" s="54" customFormat="1" ht="15" customHeight="1" x14ac:dyDescent="0.25">
      <c r="B159" s="333"/>
      <c r="C159" s="295"/>
      <c r="P159" s="295"/>
      <c r="Q159" s="295"/>
      <c r="R159" s="295"/>
      <c r="S159" s="295"/>
      <c r="T159" s="295"/>
      <c r="U159" s="295"/>
      <c r="V159" s="295"/>
      <c r="W159" s="295"/>
      <c r="X159" s="295"/>
    </row>
    <row r="160" spans="2:24" s="54" customFormat="1" ht="15" customHeight="1" x14ac:dyDescent="0.25">
      <c r="B160" s="333"/>
      <c r="C160" s="295"/>
      <c r="P160" s="295"/>
      <c r="Q160" s="295"/>
      <c r="R160" s="295"/>
      <c r="S160" s="295"/>
      <c r="T160" s="295"/>
      <c r="U160" s="295"/>
      <c r="V160" s="295"/>
      <c r="W160" s="295"/>
      <c r="X160" s="295"/>
    </row>
    <row r="161" spans="2:24" s="54" customFormat="1" ht="15" customHeight="1" x14ac:dyDescent="0.25">
      <c r="B161" s="333"/>
      <c r="C161" s="295"/>
      <c r="P161" s="295"/>
      <c r="Q161" s="295"/>
      <c r="R161" s="295"/>
      <c r="S161" s="295"/>
      <c r="T161" s="295"/>
      <c r="U161" s="295"/>
      <c r="V161" s="295"/>
      <c r="W161" s="295"/>
      <c r="X161" s="295"/>
    </row>
    <row r="162" spans="2:24" s="54" customFormat="1" ht="15" customHeight="1" x14ac:dyDescent="0.25">
      <c r="B162" s="333"/>
      <c r="C162" s="295"/>
      <c r="P162" s="295"/>
      <c r="Q162" s="295"/>
      <c r="R162" s="295"/>
      <c r="S162" s="295"/>
      <c r="T162" s="295"/>
      <c r="U162" s="295"/>
      <c r="V162" s="295"/>
      <c r="W162" s="295"/>
      <c r="X162" s="295"/>
    </row>
    <row r="163" spans="2:24" s="54" customFormat="1" ht="15" customHeight="1" x14ac:dyDescent="0.25">
      <c r="B163" s="333"/>
      <c r="C163" s="295"/>
      <c r="P163" s="295"/>
      <c r="Q163" s="295"/>
      <c r="R163" s="295"/>
      <c r="S163" s="295"/>
      <c r="T163" s="295"/>
      <c r="U163" s="295"/>
      <c r="V163" s="295"/>
      <c r="W163" s="295"/>
      <c r="X163" s="295"/>
    </row>
    <row r="164" spans="2:24" s="54" customFormat="1" ht="15" customHeight="1" x14ac:dyDescent="0.25">
      <c r="B164" s="333"/>
      <c r="C164" s="295"/>
      <c r="P164" s="295"/>
      <c r="Q164" s="295"/>
      <c r="R164" s="295"/>
      <c r="S164" s="295"/>
      <c r="T164" s="295"/>
      <c r="U164" s="295"/>
      <c r="V164" s="295"/>
      <c r="W164" s="295"/>
      <c r="X164" s="295"/>
    </row>
    <row r="165" spans="2:24" s="54" customFormat="1" ht="15" customHeight="1" x14ac:dyDescent="0.25">
      <c r="B165" s="333"/>
      <c r="C165" s="295"/>
      <c r="P165" s="295"/>
      <c r="Q165" s="295"/>
      <c r="R165" s="295"/>
      <c r="S165" s="295"/>
      <c r="T165" s="295"/>
      <c r="U165" s="295"/>
      <c r="V165" s="295"/>
      <c r="W165" s="295"/>
      <c r="X165" s="295"/>
    </row>
    <row r="166" spans="2:24" s="54" customFormat="1" ht="15" customHeight="1" x14ac:dyDescent="0.25">
      <c r="B166" s="333"/>
      <c r="C166" s="295"/>
      <c r="P166" s="295"/>
      <c r="Q166" s="295"/>
      <c r="R166" s="295"/>
      <c r="S166" s="295"/>
      <c r="T166" s="295"/>
      <c r="U166" s="295"/>
      <c r="V166" s="295"/>
      <c r="W166" s="295"/>
      <c r="X166" s="295"/>
    </row>
    <row r="167" spans="2:24" s="54" customFormat="1" ht="15" customHeight="1" x14ac:dyDescent="0.25">
      <c r="B167" s="333"/>
      <c r="C167" s="295"/>
      <c r="P167" s="295"/>
      <c r="Q167" s="295"/>
      <c r="R167" s="295"/>
      <c r="S167" s="295"/>
      <c r="T167" s="295"/>
      <c r="U167" s="295"/>
      <c r="V167" s="295"/>
      <c r="W167" s="295"/>
      <c r="X167" s="295"/>
    </row>
    <row r="168" spans="2:24" s="54" customFormat="1" ht="15" customHeight="1" x14ac:dyDescent="0.25">
      <c r="B168" s="333"/>
      <c r="C168" s="295"/>
      <c r="P168" s="295"/>
      <c r="Q168" s="295"/>
      <c r="R168" s="295"/>
      <c r="S168" s="295"/>
      <c r="T168" s="295"/>
      <c r="U168" s="295"/>
      <c r="V168" s="295"/>
      <c r="W168" s="295"/>
      <c r="X168" s="295"/>
    </row>
    <row r="169" spans="2:24" s="54" customFormat="1" ht="15" customHeight="1" x14ac:dyDescent="0.25">
      <c r="B169" s="333"/>
      <c r="C169" s="295"/>
      <c r="P169" s="295"/>
      <c r="Q169" s="295"/>
      <c r="R169" s="295"/>
      <c r="S169" s="295"/>
      <c r="T169" s="295"/>
      <c r="U169" s="295"/>
      <c r="V169" s="295"/>
      <c r="W169" s="295"/>
      <c r="X169" s="295"/>
    </row>
    <row r="170" spans="2:24" s="54" customFormat="1" ht="15" customHeight="1" x14ac:dyDescent="0.25">
      <c r="B170" s="333"/>
      <c r="C170" s="295"/>
      <c r="P170" s="295"/>
      <c r="Q170" s="295"/>
      <c r="R170" s="295"/>
      <c r="S170" s="295"/>
      <c r="T170" s="295"/>
      <c r="U170" s="295"/>
      <c r="V170" s="295"/>
      <c r="W170" s="295"/>
      <c r="X170" s="295"/>
    </row>
    <row r="171" spans="2:24" s="54" customFormat="1" ht="15" customHeight="1" x14ac:dyDescent="0.25">
      <c r="B171" s="333"/>
      <c r="C171" s="295"/>
      <c r="P171" s="295"/>
      <c r="Q171" s="295"/>
      <c r="R171" s="295"/>
      <c r="S171" s="295"/>
      <c r="T171" s="295"/>
      <c r="U171" s="295"/>
      <c r="V171" s="295"/>
      <c r="W171" s="295"/>
      <c r="X171" s="295"/>
    </row>
    <row r="172" spans="2:24" s="54" customFormat="1" ht="15" customHeight="1" x14ac:dyDescent="0.25">
      <c r="B172" s="333"/>
      <c r="C172" s="295"/>
      <c r="P172" s="295"/>
      <c r="Q172" s="295"/>
      <c r="R172" s="295"/>
      <c r="S172" s="295"/>
      <c r="T172" s="295"/>
      <c r="U172" s="295"/>
      <c r="V172" s="295"/>
      <c r="W172" s="295"/>
      <c r="X172" s="295"/>
    </row>
    <row r="173" spans="2:24" s="54" customFormat="1" ht="15" customHeight="1" x14ac:dyDescent="0.25">
      <c r="B173" s="333"/>
      <c r="C173" s="295"/>
      <c r="P173" s="295"/>
      <c r="Q173" s="295"/>
      <c r="R173" s="295"/>
      <c r="S173" s="295"/>
      <c r="T173" s="295"/>
      <c r="U173" s="295"/>
      <c r="V173" s="295"/>
      <c r="W173" s="295"/>
      <c r="X173" s="295"/>
    </row>
    <row r="174" spans="2:24" s="54" customFormat="1" ht="15" customHeight="1" x14ac:dyDescent="0.25">
      <c r="B174" s="333"/>
      <c r="C174" s="295"/>
      <c r="P174" s="295"/>
      <c r="Q174" s="295"/>
      <c r="R174" s="295"/>
      <c r="S174" s="295"/>
      <c r="T174" s="295"/>
      <c r="U174" s="295"/>
      <c r="V174" s="295"/>
      <c r="W174" s="295"/>
      <c r="X174" s="295"/>
    </row>
    <row r="175" spans="2:24" s="54" customFormat="1" ht="15" customHeight="1" x14ac:dyDescent="0.25">
      <c r="B175" s="333"/>
      <c r="C175" s="295"/>
      <c r="P175" s="295"/>
      <c r="Q175" s="295"/>
      <c r="R175" s="295"/>
      <c r="S175" s="295"/>
      <c r="T175" s="295"/>
      <c r="U175" s="295"/>
      <c r="V175" s="295"/>
      <c r="W175" s="295"/>
      <c r="X175" s="295"/>
    </row>
    <row r="176" spans="2:24" s="54" customFormat="1" ht="15" customHeight="1" x14ac:dyDescent="0.25">
      <c r="B176" s="333"/>
      <c r="C176" s="295"/>
      <c r="P176" s="295"/>
      <c r="Q176" s="295"/>
      <c r="R176" s="295"/>
      <c r="S176" s="295"/>
      <c r="T176" s="295"/>
      <c r="U176" s="295"/>
      <c r="V176" s="295"/>
      <c r="W176" s="295"/>
      <c r="X176" s="295"/>
    </row>
    <row r="177" spans="2:24" s="54" customFormat="1" ht="15" customHeight="1" x14ac:dyDescent="0.25">
      <c r="B177" s="333"/>
      <c r="C177" s="295"/>
      <c r="P177" s="295"/>
      <c r="Q177" s="295"/>
      <c r="R177" s="295"/>
      <c r="S177" s="295"/>
      <c r="T177" s="295"/>
      <c r="U177" s="295"/>
      <c r="V177" s="295"/>
      <c r="W177" s="295"/>
      <c r="X177" s="295"/>
    </row>
    <row r="178" spans="2:24" s="54" customFormat="1" ht="15" customHeight="1" x14ac:dyDescent="0.25">
      <c r="B178" s="333"/>
      <c r="C178" s="295"/>
      <c r="P178" s="295"/>
      <c r="Q178" s="295"/>
      <c r="R178" s="295"/>
      <c r="S178" s="295"/>
      <c r="T178" s="295"/>
      <c r="U178" s="295"/>
      <c r="V178" s="295"/>
      <c r="W178" s="295"/>
      <c r="X178" s="295"/>
    </row>
    <row r="179" spans="2:24" s="54" customFormat="1" ht="15" customHeight="1" x14ac:dyDescent="0.25">
      <c r="B179" s="333"/>
      <c r="C179" s="295"/>
      <c r="P179" s="295"/>
      <c r="Q179" s="295"/>
      <c r="R179" s="295"/>
      <c r="S179" s="295"/>
      <c r="T179" s="295"/>
      <c r="U179" s="295"/>
      <c r="V179" s="295"/>
      <c r="W179" s="295"/>
      <c r="X179" s="295"/>
    </row>
    <row r="180" spans="2:24" s="54" customFormat="1" ht="15" customHeight="1" x14ac:dyDescent="0.25">
      <c r="B180" s="333"/>
      <c r="C180" s="295"/>
      <c r="P180" s="295"/>
      <c r="Q180" s="295"/>
      <c r="R180" s="295"/>
      <c r="S180" s="295"/>
      <c r="T180" s="295"/>
      <c r="U180" s="295"/>
      <c r="V180" s="295"/>
      <c r="W180" s="295"/>
      <c r="X180" s="295"/>
    </row>
    <row r="181" spans="2:24" s="54" customFormat="1" ht="15" customHeight="1" x14ac:dyDescent="0.25">
      <c r="B181" s="333"/>
      <c r="C181" s="295"/>
      <c r="P181" s="295"/>
      <c r="Q181" s="295"/>
      <c r="R181" s="295"/>
      <c r="S181" s="295"/>
      <c r="T181" s="295"/>
      <c r="U181" s="295"/>
      <c r="V181" s="295"/>
      <c r="W181" s="295"/>
      <c r="X181" s="295"/>
    </row>
    <row r="182" spans="2:24" s="54" customFormat="1" ht="15" customHeight="1" x14ac:dyDescent="0.25">
      <c r="B182" s="333"/>
      <c r="C182" s="295"/>
      <c r="P182" s="295"/>
      <c r="Q182" s="295"/>
      <c r="R182" s="295"/>
      <c r="S182" s="295"/>
      <c r="T182" s="295"/>
      <c r="U182" s="295"/>
      <c r="V182" s="295"/>
      <c r="W182" s="295"/>
      <c r="X182" s="295"/>
    </row>
    <row r="183" spans="2:24" s="54" customFormat="1" ht="15" customHeight="1" x14ac:dyDescent="0.25">
      <c r="B183" s="333"/>
      <c r="C183" s="295"/>
      <c r="P183" s="295"/>
      <c r="Q183" s="295"/>
      <c r="R183" s="295"/>
      <c r="S183" s="295"/>
      <c r="T183" s="295"/>
      <c r="U183" s="295"/>
      <c r="V183" s="295"/>
      <c r="W183" s="295"/>
      <c r="X183" s="295"/>
    </row>
    <row r="184" spans="2:24" s="54" customFormat="1" ht="15" customHeight="1" x14ac:dyDescent="0.25">
      <c r="B184" s="333"/>
      <c r="C184" s="295"/>
      <c r="P184" s="295"/>
      <c r="Q184" s="295"/>
      <c r="R184" s="295"/>
      <c r="S184" s="295"/>
      <c r="T184" s="295"/>
      <c r="U184" s="295"/>
      <c r="V184" s="295"/>
      <c r="W184" s="295"/>
      <c r="X184" s="295"/>
    </row>
    <row r="185" spans="2:24" s="54" customFormat="1" ht="15" customHeight="1" x14ac:dyDescent="0.25">
      <c r="B185" s="333"/>
      <c r="C185" s="295"/>
      <c r="P185" s="295"/>
      <c r="Q185" s="295"/>
      <c r="R185" s="295"/>
      <c r="S185" s="295"/>
      <c r="T185" s="295"/>
      <c r="U185" s="295"/>
      <c r="V185" s="295"/>
      <c r="W185" s="295"/>
      <c r="X185" s="295"/>
    </row>
    <row r="186" spans="2:24" s="54" customFormat="1" ht="15" customHeight="1" x14ac:dyDescent="0.25">
      <c r="B186" s="333"/>
      <c r="C186" s="295"/>
      <c r="P186" s="295"/>
      <c r="Q186" s="295"/>
      <c r="R186" s="295"/>
      <c r="S186" s="295"/>
      <c r="T186" s="295"/>
      <c r="U186" s="295"/>
      <c r="V186" s="295"/>
      <c r="W186" s="295"/>
      <c r="X186" s="295"/>
    </row>
    <row r="187" spans="2:24" s="54" customFormat="1" ht="15" customHeight="1" x14ac:dyDescent="0.25">
      <c r="B187" s="333"/>
      <c r="C187" s="295"/>
      <c r="P187" s="295"/>
      <c r="Q187" s="295"/>
      <c r="R187" s="295"/>
      <c r="S187" s="295"/>
      <c r="T187" s="295"/>
      <c r="U187" s="295"/>
      <c r="V187" s="295"/>
      <c r="W187" s="295"/>
      <c r="X187" s="295"/>
    </row>
    <row r="188" spans="2:24" s="54" customFormat="1" ht="15" customHeight="1" x14ac:dyDescent="0.25">
      <c r="B188" s="333"/>
      <c r="C188" s="295"/>
      <c r="P188" s="295"/>
      <c r="Q188" s="295"/>
      <c r="R188" s="295"/>
      <c r="S188" s="295"/>
      <c r="T188" s="295"/>
      <c r="U188" s="295"/>
      <c r="V188" s="295"/>
      <c r="W188" s="295"/>
      <c r="X188" s="295"/>
    </row>
    <row r="189" spans="2:24" s="54" customFormat="1" ht="15" customHeight="1" x14ac:dyDescent="0.25">
      <c r="B189" s="333"/>
      <c r="C189" s="295"/>
      <c r="P189" s="295"/>
      <c r="Q189" s="295"/>
      <c r="R189" s="295"/>
      <c r="S189" s="295"/>
      <c r="T189" s="295"/>
      <c r="U189" s="295"/>
      <c r="V189" s="295"/>
      <c r="W189" s="295"/>
      <c r="X189" s="295"/>
    </row>
    <row r="190" spans="2:24" s="54" customFormat="1" ht="15" customHeight="1" x14ac:dyDescent="0.25">
      <c r="B190" s="333"/>
      <c r="C190" s="295"/>
      <c r="P190" s="295"/>
      <c r="Q190" s="295"/>
      <c r="R190" s="295"/>
      <c r="S190" s="295"/>
      <c r="T190" s="295"/>
      <c r="U190" s="295"/>
      <c r="V190" s="295"/>
      <c r="W190" s="295"/>
      <c r="X190" s="295"/>
    </row>
    <row r="191" spans="2:24" s="54" customFormat="1" ht="15" customHeight="1" x14ac:dyDescent="0.25">
      <c r="B191" s="333"/>
      <c r="C191" s="295"/>
      <c r="P191" s="295"/>
      <c r="Q191" s="295"/>
      <c r="R191" s="295"/>
      <c r="S191" s="295"/>
      <c r="T191" s="295"/>
      <c r="U191" s="295"/>
      <c r="V191" s="295"/>
      <c r="W191" s="295"/>
      <c r="X191" s="295"/>
    </row>
    <row r="192" spans="2:24" s="54" customFormat="1" ht="15" customHeight="1" x14ac:dyDescent="0.25">
      <c r="B192" s="333"/>
      <c r="C192" s="295"/>
      <c r="P192" s="295"/>
      <c r="Q192" s="295"/>
      <c r="R192" s="295"/>
      <c r="S192" s="295"/>
      <c r="T192" s="295"/>
      <c r="U192" s="295"/>
      <c r="V192" s="295"/>
      <c r="W192" s="295"/>
      <c r="X192" s="295"/>
    </row>
    <row r="193" spans="2:24" s="54" customFormat="1" ht="15" customHeight="1" x14ac:dyDescent="0.25">
      <c r="B193" s="333"/>
      <c r="C193" s="295"/>
      <c r="P193" s="295"/>
      <c r="Q193" s="295"/>
      <c r="R193" s="295"/>
      <c r="S193" s="295"/>
      <c r="T193" s="295"/>
      <c r="U193" s="295"/>
      <c r="V193" s="295"/>
      <c r="W193" s="295"/>
      <c r="X193" s="295"/>
    </row>
    <row r="194" spans="2:24" s="54" customFormat="1" ht="15" customHeight="1" x14ac:dyDescent="0.25">
      <c r="B194" s="333"/>
      <c r="C194" s="295"/>
      <c r="P194" s="295"/>
      <c r="Q194" s="295"/>
      <c r="R194" s="295"/>
      <c r="S194" s="295"/>
      <c r="T194" s="295"/>
      <c r="U194" s="295"/>
      <c r="V194" s="295"/>
      <c r="W194" s="295"/>
      <c r="X194" s="295"/>
    </row>
    <row r="195" spans="2:24" s="54" customFormat="1" ht="15" customHeight="1" x14ac:dyDescent="0.25">
      <c r="B195" s="333"/>
      <c r="C195" s="295"/>
      <c r="P195" s="295"/>
      <c r="Q195" s="295"/>
      <c r="R195" s="295"/>
      <c r="S195" s="295"/>
      <c r="T195" s="295"/>
      <c r="U195" s="295"/>
      <c r="V195" s="295"/>
      <c r="W195" s="295"/>
      <c r="X195" s="295"/>
    </row>
    <row r="196" spans="2:24" s="54" customFormat="1" ht="15" customHeight="1" x14ac:dyDescent="0.25">
      <c r="B196" s="333"/>
      <c r="C196" s="295"/>
      <c r="P196" s="295"/>
      <c r="Q196" s="295"/>
      <c r="R196" s="295"/>
      <c r="S196" s="295"/>
      <c r="T196" s="295"/>
      <c r="U196" s="295"/>
      <c r="V196" s="295"/>
      <c r="W196" s="295"/>
      <c r="X196" s="295"/>
    </row>
    <row r="197" spans="2:24" s="54" customFormat="1" ht="15" customHeight="1" x14ac:dyDescent="0.25">
      <c r="B197" s="333"/>
      <c r="C197" s="295"/>
      <c r="P197" s="295"/>
      <c r="Q197" s="295"/>
      <c r="R197" s="295"/>
      <c r="S197" s="295"/>
      <c r="T197" s="295"/>
      <c r="U197" s="295"/>
      <c r="V197" s="295"/>
      <c r="W197" s="295"/>
      <c r="X197" s="295"/>
    </row>
    <row r="198" spans="2:24" s="54" customFormat="1" ht="15" customHeight="1" x14ac:dyDescent="0.25">
      <c r="B198" s="333"/>
      <c r="C198" s="295"/>
      <c r="P198" s="295"/>
      <c r="Q198" s="295"/>
      <c r="R198" s="295"/>
      <c r="S198" s="295"/>
      <c r="T198" s="295"/>
      <c r="U198" s="295"/>
      <c r="V198" s="295"/>
      <c r="W198" s="295"/>
      <c r="X198" s="295"/>
    </row>
    <row r="199" spans="2:24" s="54" customFormat="1" ht="15" customHeight="1" x14ac:dyDescent="0.25">
      <c r="B199" s="333"/>
      <c r="C199" s="295"/>
      <c r="P199" s="295"/>
      <c r="Q199" s="295"/>
      <c r="R199" s="295"/>
      <c r="S199" s="295"/>
      <c r="T199" s="295"/>
      <c r="U199" s="295"/>
      <c r="V199" s="295"/>
      <c r="W199" s="295"/>
      <c r="X199" s="295"/>
    </row>
    <row r="200" spans="2:24" s="54" customFormat="1" ht="15" customHeight="1" x14ac:dyDescent="0.25">
      <c r="B200" s="333"/>
      <c r="C200" s="295"/>
      <c r="P200" s="295"/>
      <c r="Q200" s="295"/>
      <c r="R200" s="295"/>
      <c r="S200" s="295"/>
      <c r="T200" s="295"/>
      <c r="U200" s="295"/>
      <c r="V200" s="295"/>
      <c r="W200" s="295"/>
      <c r="X200" s="295"/>
    </row>
    <row r="201" spans="2:24" s="54" customFormat="1" ht="15" customHeight="1" x14ac:dyDescent="0.25">
      <c r="B201" s="333"/>
      <c r="C201" s="295"/>
      <c r="P201" s="295"/>
      <c r="Q201" s="295"/>
      <c r="R201" s="295"/>
      <c r="S201" s="295"/>
      <c r="T201" s="295"/>
      <c r="U201" s="295"/>
      <c r="V201" s="295"/>
      <c r="W201" s="295"/>
      <c r="X201" s="295"/>
    </row>
    <row r="202" spans="2:24" s="54" customFormat="1" ht="15" customHeight="1" x14ac:dyDescent="0.25">
      <c r="B202" s="333"/>
      <c r="C202" s="295"/>
      <c r="P202" s="295"/>
      <c r="Q202" s="295"/>
      <c r="R202" s="295"/>
      <c r="S202" s="295"/>
      <c r="T202" s="295"/>
      <c r="U202" s="295"/>
      <c r="V202" s="295"/>
      <c r="W202" s="295"/>
      <c r="X202" s="295"/>
    </row>
    <row r="203" spans="2:24" s="54" customFormat="1" ht="15" customHeight="1" x14ac:dyDescent="0.25">
      <c r="B203" s="333"/>
      <c r="C203" s="295"/>
      <c r="P203" s="295"/>
      <c r="Q203" s="295"/>
      <c r="R203" s="295"/>
      <c r="S203" s="295"/>
      <c r="T203" s="295"/>
      <c r="U203" s="295"/>
      <c r="V203" s="295"/>
      <c r="W203" s="295"/>
      <c r="X203" s="295"/>
    </row>
    <row r="204" spans="2:24" s="54" customFormat="1" ht="15" customHeight="1" x14ac:dyDescent="0.25">
      <c r="B204" s="333"/>
      <c r="C204" s="295"/>
      <c r="P204" s="295"/>
      <c r="Q204" s="295"/>
      <c r="R204" s="295"/>
      <c r="S204" s="295"/>
      <c r="T204" s="295"/>
      <c r="U204" s="295"/>
      <c r="V204" s="295"/>
      <c r="W204" s="295"/>
      <c r="X204" s="295"/>
    </row>
    <row r="205" spans="2:24" s="54" customFormat="1" ht="15" customHeight="1" x14ac:dyDescent="0.25">
      <c r="B205" s="333"/>
      <c r="C205" s="295"/>
      <c r="P205" s="295"/>
      <c r="Q205" s="295"/>
      <c r="R205" s="295"/>
      <c r="S205" s="295"/>
      <c r="T205" s="295"/>
      <c r="U205" s="295"/>
      <c r="V205" s="295"/>
      <c r="W205" s="295"/>
      <c r="X205" s="295"/>
    </row>
    <row r="206" spans="2:24" s="54" customFormat="1" ht="15" customHeight="1" x14ac:dyDescent="0.25">
      <c r="B206" s="333"/>
      <c r="C206" s="295"/>
      <c r="P206" s="295"/>
      <c r="Q206" s="295"/>
      <c r="R206" s="295"/>
      <c r="S206" s="295"/>
      <c r="T206" s="295"/>
      <c r="U206" s="295"/>
      <c r="V206" s="295"/>
      <c r="W206" s="295"/>
      <c r="X206" s="295"/>
    </row>
    <row r="207" spans="2:24" s="54" customFormat="1" ht="15" customHeight="1" x14ac:dyDescent="0.25">
      <c r="B207" s="333"/>
      <c r="C207" s="295"/>
      <c r="P207" s="295"/>
      <c r="Q207" s="295"/>
      <c r="R207" s="295"/>
      <c r="S207" s="295"/>
      <c r="T207" s="295"/>
      <c r="U207" s="295"/>
      <c r="V207" s="295"/>
      <c r="W207" s="295"/>
      <c r="X207" s="295"/>
    </row>
    <row r="208" spans="2:24" s="54" customFormat="1" ht="15" customHeight="1" x14ac:dyDescent="0.25">
      <c r="B208" s="333"/>
      <c r="C208" s="295"/>
      <c r="P208" s="295"/>
      <c r="Q208" s="295"/>
      <c r="R208" s="295"/>
      <c r="S208" s="295"/>
      <c r="T208" s="295"/>
      <c r="U208" s="295"/>
      <c r="V208" s="295"/>
      <c r="W208" s="295"/>
      <c r="X208" s="295"/>
    </row>
    <row r="209" spans="2:36" s="54" customFormat="1" ht="15" customHeight="1" x14ac:dyDescent="0.25">
      <c r="B209" s="333"/>
      <c r="C209" s="295"/>
      <c r="P209" s="295"/>
      <c r="Q209" s="295"/>
      <c r="R209" s="295"/>
      <c r="S209" s="295"/>
      <c r="T209" s="295"/>
      <c r="U209" s="295"/>
      <c r="V209" s="295"/>
      <c r="W209" s="295"/>
      <c r="X209" s="295"/>
    </row>
    <row r="210" spans="2:36" s="54" customFormat="1" ht="15" customHeight="1" x14ac:dyDescent="0.25">
      <c r="B210" s="333"/>
      <c r="C210" s="295"/>
      <c r="P210" s="295"/>
      <c r="Q210" s="295"/>
      <c r="R210" s="295"/>
      <c r="S210" s="295"/>
      <c r="T210" s="295"/>
      <c r="U210" s="295"/>
      <c r="V210" s="295"/>
      <c r="W210" s="295"/>
      <c r="X210" s="295"/>
    </row>
    <row r="211" spans="2:36" s="54" customFormat="1" ht="15" customHeight="1" x14ac:dyDescent="0.25">
      <c r="B211" s="333"/>
      <c r="C211" s="295"/>
      <c r="P211" s="295"/>
      <c r="Q211" s="295"/>
      <c r="R211" s="295"/>
      <c r="S211" s="295"/>
      <c r="T211" s="295"/>
      <c r="U211" s="295"/>
      <c r="V211" s="295"/>
      <c r="W211" s="295"/>
      <c r="X211" s="295"/>
    </row>
    <row r="212" spans="2:36" s="54" customFormat="1" ht="15" customHeight="1" x14ac:dyDescent="0.25">
      <c r="B212" s="333"/>
      <c r="C212" s="295"/>
      <c r="P212" s="295"/>
      <c r="Q212" s="295"/>
      <c r="R212" s="295"/>
      <c r="S212" s="295"/>
      <c r="T212" s="295"/>
      <c r="U212" s="295"/>
      <c r="V212" s="295"/>
      <c r="W212" s="295"/>
      <c r="X212" s="295"/>
    </row>
    <row r="213" spans="2:36" s="54" customFormat="1" ht="15" customHeight="1" x14ac:dyDescent="0.25">
      <c r="B213" s="333"/>
      <c r="C213" s="295"/>
      <c r="P213" s="295"/>
      <c r="Q213" s="295"/>
      <c r="R213" s="295"/>
      <c r="S213" s="295"/>
      <c r="T213" s="295"/>
      <c r="U213" s="295"/>
      <c r="V213" s="295"/>
      <c r="W213" s="295"/>
      <c r="X213" s="295"/>
    </row>
    <row r="214" spans="2:36" s="54" customFormat="1" ht="15" customHeight="1" x14ac:dyDescent="0.25">
      <c r="B214" s="333"/>
      <c r="C214" s="295"/>
      <c r="P214" s="295"/>
      <c r="Q214" s="295"/>
      <c r="R214" s="295"/>
      <c r="S214" s="295"/>
      <c r="T214" s="295"/>
      <c r="U214" s="295"/>
      <c r="V214" s="295"/>
      <c r="W214" s="295"/>
      <c r="X214" s="295"/>
    </row>
    <row r="215" spans="2:36" s="54" customFormat="1" ht="15" customHeight="1" x14ac:dyDescent="0.25">
      <c r="B215" s="333"/>
      <c r="C215" s="295"/>
      <c r="P215" s="295"/>
      <c r="Q215" s="295"/>
      <c r="R215" s="295"/>
      <c r="S215" s="295"/>
      <c r="T215" s="295"/>
      <c r="U215" s="295"/>
      <c r="V215" s="295"/>
      <c r="W215" s="295"/>
      <c r="X215" s="295"/>
    </row>
    <row r="216" spans="2:36" s="54" customFormat="1" ht="15" customHeight="1" x14ac:dyDescent="0.25">
      <c r="B216" s="333"/>
      <c r="C216" s="295"/>
      <c r="P216" s="295"/>
      <c r="Q216" s="295"/>
      <c r="R216" s="295"/>
      <c r="S216" s="295"/>
      <c r="T216" s="295"/>
      <c r="U216" s="295"/>
      <c r="V216" s="295"/>
      <c r="W216" s="295"/>
      <c r="X216" s="295"/>
    </row>
    <row r="217" spans="2:36" s="54" customFormat="1" ht="15" customHeight="1" x14ac:dyDescent="0.25">
      <c r="B217" s="333"/>
      <c r="C217" s="295"/>
      <c r="P217" s="295"/>
      <c r="Q217" s="295"/>
      <c r="R217" s="295"/>
      <c r="S217" s="295"/>
      <c r="T217" s="295"/>
      <c r="U217" s="295"/>
      <c r="V217" s="295"/>
      <c r="W217" s="295"/>
      <c r="X217" s="295"/>
      <c r="AE217" s="7"/>
      <c r="AF217" s="7"/>
      <c r="AG217" s="7"/>
      <c r="AH217" s="7"/>
      <c r="AI217" s="7"/>
      <c r="AJ217" s="7"/>
    </row>
    <row r="218" spans="2:36" x14ac:dyDescent="0.25">
      <c r="B218" s="35"/>
      <c r="C218" s="35"/>
      <c r="P218" s="53"/>
      <c r="Q218" s="53"/>
      <c r="R218" s="53"/>
      <c r="S218" s="53"/>
      <c r="T218" s="53"/>
      <c r="U218" s="53"/>
      <c r="V218" s="53"/>
      <c r="W218" s="53"/>
      <c r="X218" s="53"/>
      <c r="AE218" s="54"/>
      <c r="AF218" s="54"/>
      <c r="AG218" s="54"/>
      <c r="AH218" s="54"/>
      <c r="AI218" s="54"/>
      <c r="AJ218" s="54"/>
    </row>
    <row r="219" spans="2:36" s="54" customFormat="1" ht="13.5" customHeight="1" x14ac:dyDescent="0.25">
      <c r="B219" s="35"/>
      <c r="C219" s="35"/>
      <c r="P219" s="53"/>
      <c r="Q219" s="53"/>
      <c r="R219" s="53"/>
      <c r="S219" s="53"/>
      <c r="T219" s="53"/>
      <c r="U219" s="53"/>
      <c r="V219" s="53"/>
      <c r="W219" s="53"/>
      <c r="X219" s="53"/>
    </row>
    <row r="220" spans="2:36" s="54" customFormat="1" ht="13.5" customHeight="1" x14ac:dyDescent="0.25">
      <c r="B220" s="35"/>
      <c r="C220" s="35"/>
      <c r="P220" s="53"/>
      <c r="Q220" s="53"/>
      <c r="R220" s="53"/>
      <c r="S220" s="53"/>
      <c r="T220" s="53"/>
      <c r="U220" s="53"/>
      <c r="V220" s="53"/>
      <c r="W220" s="53"/>
      <c r="X220" s="53"/>
    </row>
    <row r="221" spans="2:36" s="54" customFormat="1" ht="13.5" customHeight="1" x14ac:dyDescent="0.25">
      <c r="B221" s="35"/>
      <c r="C221" s="35"/>
      <c r="P221" s="53"/>
      <c r="Q221" s="53"/>
      <c r="R221" s="53"/>
      <c r="S221" s="53"/>
      <c r="T221" s="53"/>
      <c r="U221" s="53"/>
      <c r="V221" s="53"/>
      <c r="W221" s="53"/>
      <c r="X221" s="53"/>
    </row>
    <row r="222" spans="2:36" s="54" customFormat="1" ht="13.5" customHeight="1" x14ac:dyDescent="0.25">
      <c r="B222" s="35"/>
      <c r="C222" s="35"/>
      <c r="P222" s="53"/>
      <c r="Q222" s="53"/>
      <c r="R222" s="53"/>
      <c r="S222" s="53"/>
      <c r="T222" s="53"/>
      <c r="U222" s="53"/>
      <c r="V222" s="53"/>
      <c r="W222" s="53"/>
      <c r="X222" s="53"/>
      <c r="AE222" s="7"/>
      <c r="AF222" s="7"/>
      <c r="AG222" s="7"/>
      <c r="AH222" s="7"/>
      <c r="AI222" s="7"/>
      <c r="AJ222" s="7"/>
    </row>
    <row r="223" spans="2:36" ht="13.5" customHeight="1" x14ac:dyDescent="0.25">
      <c r="B223" s="35"/>
      <c r="C223" s="35"/>
      <c r="P223" s="40"/>
      <c r="Q223" s="40"/>
      <c r="R223" s="40"/>
      <c r="S223" s="40"/>
      <c r="T223" s="40"/>
      <c r="U223" s="40"/>
      <c r="V223" s="40"/>
      <c r="W223" s="40"/>
      <c r="X223" s="40"/>
    </row>
    <row r="224" spans="2:36" ht="13.5" customHeight="1" x14ac:dyDescent="0.25">
      <c r="B224" s="35"/>
      <c r="C224" s="35"/>
      <c r="P224" s="40"/>
      <c r="Q224" s="40"/>
      <c r="R224" s="40"/>
      <c r="S224" s="40"/>
      <c r="T224" s="40"/>
      <c r="U224" s="40"/>
      <c r="V224" s="40"/>
      <c r="W224" s="40"/>
      <c r="X224" s="40"/>
    </row>
    <row r="225" spans="2:24" x14ac:dyDescent="0.25">
      <c r="B225" s="35"/>
      <c r="C225" s="35"/>
      <c r="P225" s="35"/>
      <c r="Q225" s="35"/>
      <c r="R225" s="35"/>
      <c r="S225" s="35"/>
      <c r="T225" s="35"/>
      <c r="U225" s="35"/>
      <c r="V225" s="35"/>
      <c r="W225" s="35"/>
      <c r="X225" s="35"/>
    </row>
    <row r="226" spans="2:24" x14ac:dyDescent="0.25">
      <c r="B226" s="35"/>
      <c r="C226" s="35"/>
      <c r="P226" s="40"/>
      <c r="Q226" s="40"/>
      <c r="R226" s="40"/>
      <c r="S226" s="40"/>
      <c r="T226" s="40"/>
      <c r="U226" s="40"/>
      <c r="V226" s="40"/>
      <c r="W226" s="40"/>
      <c r="X226" s="40"/>
    </row>
    <row r="227" spans="2:24" x14ac:dyDescent="0.25">
      <c r="B227" s="35"/>
      <c r="C227" s="35"/>
      <c r="P227" s="40"/>
      <c r="Q227" s="40"/>
      <c r="R227" s="40"/>
      <c r="S227" s="40"/>
      <c r="T227" s="40"/>
      <c r="U227" s="40"/>
      <c r="V227" s="40"/>
      <c r="W227" s="40"/>
      <c r="X227" s="40"/>
    </row>
    <row r="228" spans="2:24" x14ac:dyDescent="0.25">
      <c r="B228" s="35"/>
      <c r="C228" s="35"/>
      <c r="P228" s="40"/>
      <c r="Q228" s="40"/>
      <c r="R228" s="40"/>
      <c r="S228" s="40"/>
      <c r="T228" s="40"/>
      <c r="U228" s="40"/>
      <c r="V228" s="40"/>
      <c r="W228" s="40"/>
      <c r="X228" s="40"/>
    </row>
    <row r="229" spans="2:24" x14ac:dyDescent="0.25">
      <c r="B229" s="35"/>
      <c r="C229" s="35"/>
      <c r="P229" s="308"/>
      <c r="Q229" s="40"/>
      <c r="R229" s="40"/>
      <c r="S229" s="40"/>
      <c r="T229" s="40"/>
      <c r="U229" s="40"/>
      <c r="V229" s="40"/>
      <c r="W229" s="40"/>
      <c r="X229" s="40"/>
    </row>
    <row r="230" spans="2:24" x14ac:dyDescent="0.25">
      <c r="B230" s="35"/>
      <c r="C230" s="35"/>
      <c r="P230" s="40"/>
      <c r="Q230" s="40"/>
      <c r="R230" s="40"/>
      <c r="S230" s="40"/>
      <c r="T230" s="40"/>
      <c r="U230" s="40"/>
      <c r="V230" s="40"/>
      <c r="W230" s="40"/>
      <c r="X230" s="40"/>
    </row>
    <row r="231" spans="2:24" x14ac:dyDescent="0.25">
      <c r="B231" s="35"/>
      <c r="C231" s="35"/>
      <c r="P231" s="40"/>
      <c r="Q231" s="40"/>
      <c r="R231" s="40"/>
      <c r="S231" s="40"/>
      <c r="T231" s="40"/>
      <c r="U231" s="40"/>
      <c r="V231" s="40"/>
      <c r="W231" s="40"/>
      <c r="X231" s="40"/>
    </row>
    <row r="232" spans="2:24" x14ac:dyDescent="0.25">
      <c r="B232" s="35"/>
      <c r="C232" s="35"/>
      <c r="P232" s="53"/>
      <c r="Q232" s="53"/>
      <c r="R232" s="53"/>
      <c r="S232" s="53"/>
      <c r="T232" s="53"/>
      <c r="U232" s="53"/>
      <c r="V232" s="53"/>
      <c r="W232" s="53"/>
      <c r="X232" s="53"/>
    </row>
  </sheetData>
  <pageMargins left="0.7" right="0.7" top="0.75" bottom="0.75" header="0.3" footer="0.3"/>
  <pageSetup paperSize="9" orientation="portrait" r:id="rId1"/>
  <ignoredErrors>
    <ignoredError sqref="P97:X97" formula="1"/>
  </ignoredError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B1:AJ136"/>
  <sheetViews>
    <sheetView workbookViewId="0">
      <selection activeCell="B8" sqref="B8"/>
    </sheetView>
  </sheetViews>
  <sheetFormatPr defaultRowHeight="15" x14ac:dyDescent="0.25"/>
  <cols>
    <col min="1" max="1" width="1.85546875" style="2" customWidth="1"/>
    <col min="2" max="2" width="43" style="2" customWidth="1"/>
    <col min="3" max="3" width="20.7109375" style="2" customWidth="1"/>
    <col min="4" max="14" width="9.140625" style="2" hidden="1" customWidth="1"/>
    <col min="15" max="15" width="10.42578125" style="2" customWidth="1"/>
    <col min="16" max="16" width="9.85546875" style="2" customWidth="1"/>
    <col min="17" max="17" width="10.28515625" style="2" customWidth="1"/>
    <col min="18" max="18" width="10.85546875" style="2" customWidth="1"/>
    <col min="19" max="19" width="10" style="2" customWidth="1"/>
    <col min="20" max="20" width="11.42578125" style="2" customWidth="1"/>
    <col min="21" max="21" width="11" style="2" customWidth="1"/>
    <col min="22" max="22" width="9.85546875" style="2" customWidth="1"/>
    <col min="23" max="23" width="10.42578125" style="2" customWidth="1"/>
    <col min="24" max="24" width="11.140625" style="2" customWidth="1"/>
    <col min="25" max="30" width="9.140625" style="2"/>
    <col min="31" max="31" width="56.7109375" style="2" customWidth="1"/>
    <col min="32" max="16384" width="9.140625" style="2"/>
  </cols>
  <sheetData>
    <row r="1" spans="2:36" x14ac:dyDescent="0.25">
      <c r="M1" s="7"/>
      <c r="N1" s="7"/>
      <c r="O1" s="7"/>
    </row>
    <row r="2" spans="2:36" x14ac:dyDescent="0.25">
      <c r="M2" s="7"/>
      <c r="N2" s="7"/>
      <c r="O2" s="7"/>
    </row>
    <row r="3" spans="2:36" x14ac:dyDescent="0.25">
      <c r="M3" s="7"/>
      <c r="N3" s="7"/>
      <c r="O3" s="7"/>
    </row>
    <row r="4" spans="2:36" x14ac:dyDescent="0.25">
      <c r="M4" s="7"/>
      <c r="N4" s="7"/>
      <c r="O4" s="7"/>
    </row>
    <row r="5" spans="2:36" x14ac:dyDescent="0.25">
      <c r="M5" s="7"/>
      <c r="N5" s="7"/>
      <c r="O5" s="7"/>
    </row>
    <row r="6" spans="2:36" x14ac:dyDescent="0.25">
      <c r="M6" s="7"/>
      <c r="N6" s="7"/>
      <c r="O6" s="7"/>
    </row>
    <row r="7" spans="2:36" ht="20.25" x14ac:dyDescent="0.3">
      <c r="B7" s="1" t="str">
        <f>Index!B7</f>
        <v>Economic effects of fiscal support for the NSW GREYHOUND racing industry: DRAFT</v>
      </c>
      <c r="C7" s="1"/>
      <c r="M7" s="7"/>
      <c r="N7" s="7"/>
      <c r="O7" s="7"/>
    </row>
    <row r="8" spans="2:36" ht="18" x14ac:dyDescent="0.25">
      <c r="B8" s="3" t="s">
        <v>250</v>
      </c>
      <c r="M8" s="7"/>
      <c r="N8" s="7"/>
      <c r="O8" s="7"/>
    </row>
    <row r="9" spans="2:36" s="12" customFormat="1" ht="18" x14ac:dyDescent="0.25">
      <c r="C9" s="301"/>
    </row>
    <row r="10" spans="2:36" x14ac:dyDescent="0.25">
      <c r="N10" s="5"/>
    </row>
    <row r="11" spans="2:36" s="7" customFormat="1" x14ac:dyDescent="0.25">
      <c r="B11" s="296" t="s">
        <v>541</v>
      </c>
      <c r="C11" s="297"/>
      <c r="D11" s="297"/>
      <c r="E11" s="297"/>
      <c r="F11" s="297"/>
      <c r="G11" s="297"/>
      <c r="H11" s="297"/>
      <c r="I11" s="297"/>
      <c r="J11" s="297"/>
      <c r="K11" s="297"/>
      <c r="L11" s="302"/>
      <c r="M11" s="302"/>
      <c r="N11" s="303"/>
      <c r="O11" s="302"/>
      <c r="P11" s="141"/>
      <c r="Q11" s="141"/>
      <c r="R11" s="141"/>
      <c r="S11" s="141"/>
      <c r="T11" s="141"/>
      <c r="U11" s="141"/>
      <c r="V11" s="141"/>
      <c r="W11" s="141"/>
      <c r="X11" s="141"/>
    </row>
    <row r="12" spans="2:36" x14ac:dyDescent="0.25">
      <c r="B12" s="43"/>
      <c r="C12" s="44"/>
      <c r="D12" s="281" t="s">
        <v>13</v>
      </c>
      <c r="E12" s="281" t="s">
        <v>14</v>
      </c>
      <c r="F12" s="281" t="s">
        <v>15</v>
      </c>
      <c r="G12" s="281" t="s">
        <v>16</v>
      </c>
      <c r="H12" s="281" t="s">
        <v>17</v>
      </c>
      <c r="I12" s="281" t="s">
        <v>18</v>
      </c>
      <c r="J12" s="281" t="s">
        <v>19</v>
      </c>
      <c r="K12" s="281" t="s">
        <v>20</v>
      </c>
      <c r="L12" s="281" t="s">
        <v>21</v>
      </c>
      <c r="M12" s="281" t="s">
        <v>11</v>
      </c>
      <c r="N12" s="284" t="s">
        <v>8</v>
      </c>
      <c r="O12" s="523" t="s">
        <v>22</v>
      </c>
      <c r="P12" s="599" t="s">
        <v>23</v>
      </c>
      <c r="Q12" s="443" t="s">
        <v>24</v>
      </c>
      <c r="R12" s="443" t="s">
        <v>25</v>
      </c>
      <c r="S12" s="443" t="s">
        <v>26</v>
      </c>
      <c r="T12" s="446" t="s">
        <v>27</v>
      </c>
      <c r="U12" s="599" t="s">
        <v>28</v>
      </c>
      <c r="V12" s="443" t="s">
        <v>29</v>
      </c>
      <c r="W12" s="443" t="s">
        <v>30</v>
      </c>
      <c r="X12" s="446" t="s">
        <v>31</v>
      </c>
    </row>
    <row r="13" spans="2:36" x14ac:dyDescent="0.25">
      <c r="B13" s="295" t="s">
        <v>251</v>
      </c>
      <c r="C13" s="8"/>
      <c r="D13" s="304"/>
      <c r="E13" s="304"/>
      <c r="F13" s="304"/>
      <c r="G13" s="304"/>
      <c r="H13" s="304"/>
      <c r="I13" s="304"/>
      <c r="J13" s="304"/>
      <c r="K13" s="304"/>
      <c r="L13" s="304"/>
      <c r="M13" s="304"/>
      <c r="N13" s="305"/>
      <c r="O13" s="433"/>
      <c r="P13" s="674" t="s">
        <v>423</v>
      </c>
      <c r="Q13" s="675"/>
      <c r="R13" s="675"/>
      <c r="S13" s="675"/>
      <c r="T13" s="676"/>
      <c r="U13" s="674"/>
      <c r="V13" s="675"/>
      <c r="W13" s="675"/>
      <c r="X13" s="676"/>
    </row>
    <row r="14" spans="2:36" x14ac:dyDescent="0.25">
      <c r="B14" s="35" t="s">
        <v>253</v>
      </c>
      <c r="C14" s="24" t="s">
        <v>36</v>
      </c>
      <c r="D14" s="7"/>
      <c r="E14" s="7"/>
      <c r="F14" s="7"/>
      <c r="G14" s="7"/>
      <c r="H14" s="7"/>
      <c r="I14" s="7"/>
      <c r="J14" s="7"/>
      <c r="K14" s="7"/>
      <c r="L14" s="7"/>
      <c r="M14" s="7"/>
      <c r="N14" s="8"/>
      <c r="O14" s="8"/>
      <c r="P14" s="468"/>
      <c r="Q14" s="53"/>
      <c r="R14" s="53"/>
      <c r="S14" s="53"/>
      <c r="T14" s="287"/>
      <c r="U14" s="602"/>
      <c r="V14" s="447"/>
      <c r="W14" s="447"/>
      <c r="X14" s="448"/>
    </row>
    <row r="15" spans="2:36" x14ac:dyDescent="0.25">
      <c r="B15" s="35" t="s">
        <v>254</v>
      </c>
      <c r="C15" s="24" t="s">
        <v>36</v>
      </c>
      <c r="D15" s="7"/>
      <c r="E15" s="7"/>
      <c r="F15" s="7"/>
      <c r="G15" s="7"/>
      <c r="H15" s="7"/>
      <c r="I15" s="7"/>
      <c r="J15" s="7"/>
      <c r="K15" s="7"/>
      <c r="L15" s="7"/>
      <c r="M15" s="7"/>
      <c r="N15" s="8"/>
      <c r="O15" s="8"/>
      <c r="P15" s="468"/>
      <c r="Q15" s="53"/>
      <c r="R15" s="53"/>
      <c r="S15" s="53"/>
      <c r="T15" s="150"/>
      <c r="U15" s="602"/>
      <c r="V15" s="447"/>
      <c r="W15" s="447"/>
      <c r="X15" s="448"/>
    </row>
    <row r="16" spans="2:36" x14ac:dyDescent="0.25">
      <c r="B16" s="295"/>
      <c r="C16" s="8"/>
      <c r="D16" s="304"/>
      <c r="E16" s="304"/>
      <c r="F16" s="304"/>
      <c r="G16" s="304"/>
      <c r="H16" s="304"/>
      <c r="I16" s="304"/>
      <c r="J16" s="304"/>
      <c r="K16" s="304"/>
      <c r="L16" s="304"/>
      <c r="M16" s="304"/>
      <c r="N16" s="305"/>
      <c r="O16" s="305"/>
      <c r="P16" s="600"/>
      <c r="Q16" s="304"/>
      <c r="R16" s="304"/>
      <c r="S16" s="304"/>
      <c r="T16" s="305"/>
      <c r="U16" s="603"/>
      <c r="V16" s="449"/>
      <c r="W16" s="449"/>
      <c r="X16" s="450"/>
      <c r="Z16" s="579">
        <v>2689.2512207</v>
      </c>
      <c r="AA16" s="579">
        <f>Z16+P17</f>
        <v>2705.1399411317684</v>
      </c>
      <c r="AB16" s="589">
        <f>(AA16/Z16-1)*100</f>
        <v>0.59082321166086249</v>
      </c>
      <c r="AC16" s="329">
        <f>P17/Z16</f>
        <v>5.9082321166085503E-3</v>
      </c>
      <c r="AE16" s="661" t="s">
        <v>367</v>
      </c>
      <c r="AF16" s="661" t="str">
        <f>P12</f>
        <v>2014-15</v>
      </c>
      <c r="AG16" s="661" t="str">
        <f t="shared" ref="AG16:AJ16" si="0">Q12</f>
        <v>2015-16</v>
      </c>
      <c r="AH16" s="661" t="str">
        <f t="shared" si="0"/>
        <v>2016-17</v>
      </c>
      <c r="AI16" s="661" t="str">
        <f t="shared" si="0"/>
        <v>2017-18</v>
      </c>
      <c r="AJ16" s="661" t="str">
        <f t="shared" si="0"/>
        <v>2018-19</v>
      </c>
    </row>
    <row r="17" spans="2:36" x14ac:dyDescent="0.25">
      <c r="B17" s="35" t="s">
        <v>544</v>
      </c>
      <c r="C17" s="24" t="s">
        <v>36</v>
      </c>
      <c r="D17" s="7"/>
      <c r="E17" s="7"/>
      <c r="F17" s="7"/>
      <c r="G17" s="7"/>
      <c r="H17" s="7"/>
      <c r="I17" s="7"/>
      <c r="J17" s="7"/>
      <c r="K17" s="7"/>
      <c r="L17" s="7"/>
      <c r="M17" s="7"/>
      <c r="N17" s="8"/>
      <c r="O17" s="8"/>
      <c r="P17" s="347">
        <f>'4.Turnover'!P145</f>
        <v>15.888720431768489</v>
      </c>
      <c r="Q17" s="40">
        <f>'4.Turnover'!Q145</f>
        <v>15.62414884374523</v>
      </c>
      <c r="R17" s="40">
        <f>'4.Turnover'!R145</f>
        <v>15.857272324603537</v>
      </c>
      <c r="S17" s="40">
        <f>'4.Turnover'!S145</f>
        <v>16.044882694836843</v>
      </c>
      <c r="T17" s="25">
        <f>'4.Turnover'!T145</f>
        <v>16.312141008663897</v>
      </c>
      <c r="U17" s="604"/>
      <c r="V17" s="451"/>
      <c r="W17" s="451"/>
      <c r="X17" s="452"/>
      <c r="Z17" s="606"/>
      <c r="AA17" s="606"/>
      <c r="AB17" s="607"/>
      <c r="AC17" s="608"/>
      <c r="AE17" s="661" t="s">
        <v>557</v>
      </c>
      <c r="AF17" s="662">
        <f>P23</f>
        <v>-15.888720431768489</v>
      </c>
      <c r="AG17" s="662">
        <f t="shared" ref="AG17:AJ17" si="1">Q23</f>
        <v>-15.62414884374523</v>
      </c>
      <c r="AH17" s="662">
        <f t="shared" si="1"/>
        <v>-15.857272324603537</v>
      </c>
      <c r="AI17" s="662">
        <f t="shared" si="1"/>
        <v>-16.044882694836843</v>
      </c>
      <c r="AJ17" s="662">
        <f t="shared" si="1"/>
        <v>-16.312141008663897</v>
      </c>
    </row>
    <row r="18" spans="2:36" x14ac:dyDescent="0.25">
      <c r="B18" s="35" t="s">
        <v>545</v>
      </c>
      <c r="C18" s="24" t="s">
        <v>36</v>
      </c>
      <c r="D18" s="7"/>
      <c r="E18" s="7"/>
      <c r="F18" s="7"/>
      <c r="G18" s="7"/>
      <c r="H18" s="7"/>
      <c r="I18" s="7"/>
      <c r="J18" s="7"/>
      <c r="K18" s="7"/>
      <c r="L18" s="7"/>
      <c r="M18" s="7"/>
      <c r="N18" s="8"/>
      <c r="O18" s="8"/>
      <c r="P18" s="347">
        <f>P17</f>
        <v>15.888720431768489</v>
      </c>
      <c r="Q18" s="40">
        <f>P18+Q17</f>
        <v>31.512869275513719</v>
      </c>
      <c r="R18" s="40">
        <f t="shared" ref="R18:T18" si="2">Q18+R17</f>
        <v>47.370141600117257</v>
      </c>
      <c r="S18" s="40">
        <f t="shared" si="2"/>
        <v>63.415024294954101</v>
      </c>
      <c r="T18" s="25">
        <f t="shared" si="2"/>
        <v>79.727165303617994</v>
      </c>
      <c r="U18" s="604"/>
      <c r="V18" s="451"/>
      <c r="W18" s="451"/>
      <c r="X18" s="452"/>
      <c r="AE18" s="661" t="s">
        <v>558</v>
      </c>
      <c r="AF18" s="662">
        <f>P17</f>
        <v>15.888720431768489</v>
      </c>
      <c r="AG18" s="662">
        <f t="shared" ref="AG18:AJ18" si="3">Q17</f>
        <v>15.62414884374523</v>
      </c>
      <c r="AH18" s="662">
        <f t="shared" si="3"/>
        <v>15.857272324603537</v>
      </c>
      <c r="AI18" s="662">
        <f t="shared" si="3"/>
        <v>16.044882694836843</v>
      </c>
      <c r="AJ18" s="662">
        <f t="shared" si="3"/>
        <v>16.312141008663897</v>
      </c>
    </row>
    <row r="19" spans="2:36" x14ac:dyDescent="0.25">
      <c r="B19" s="35"/>
      <c r="C19" s="24"/>
      <c r="D19" s="7"/>
      <c r="E19" s="7"/>
      <c r="F19" s="7"/>
      <c r="G19" s="7"/>
      <c r="H19" s="7"/>
      <c r="I19" s="7"/>
      <c r="J19" s="7"/>
      <c r="K19" s="7"/>
      <c r="L19" s="7"/>
      <c r="M19" s="7"/>
      <c r="N19" s="8"/>
      <c r="O19" s="8"/>
      <c r="P19" s="90"/>
      <c r="Q19" s="35"/>
      <c r="R19" s="35"/>
      <c r="S19" s="35"/>
      <c r="T19" s="24"/>
      <c r="U19" s="605"/>
      <c r="V19" s="453"/>
      <c r="W19" s="453"/>
      <c r="X19" s="454"/>
      <c r="AE19" s="35"/>
      <c r="AF19" s="35"/>
      <c r="AG19" s="35"/>
      <c r="AH19" s="35"/>
      <c r="AI19" s="35"/>
      <c r="AJ19" s="35"/>
    </row>
    <row r="20" spans="2:36" x14ac:dyDescent="0.25">
      <c r="B20" s="35" t="s">
        <v>542</v>
      </c>
      <c r="C20" s="24" t="s">
        <v>36</v>
      </c>
      <c r="D20" s="7"/>
      <c r="E20" s="7"/>
      <c r="F20" s="7"/>
      <c r="G20" s="7"/>
      <c r="H20" s="7"/>
      <c r="I20" s="7"/>
      <c r="J20" s="7"/>
      <c r="K20" s="7"/>
      <c r="L20" s="7"/>
      <c r="M20" s="7"/>
      <c r="N20" s="8"/>
      <c r="O20" s="8"/>
      <c r="P20" s="468"/>
      <c r="Q20" s="53"/>
      <c r="R20" s="53"/>
      <c r="S20" s="53"/>
      <c r="T20" s="150"/>
      <c r="U20" s="602">
        <f>-'4.Turnover'!U159</f>
        <v>16.831527077330378</v>
      </c>
      <c r="V20" s="447">
        <f>-'4.Turnover'!V159</f>
        <v>17.542956234078002</v>
      </c>
      <c r="W20" s="447">
        <f>-'4.Turnover'!W159</f>
        <v>18.25607626811988</v>
      </c>
      <c r="X20" s="448">
        <f>-'4.Turnover'!X159</f>
        <v>18.97889229810556</v>
      </c>
      <c r="AE20" s="661" t="s">
        <v>367</v>
      </c>
      <c r="AF20" s="661" t="str">
        <f>U12</f>
        <v>2019-20</v>
      </c>
      <c r="AG20" s="661" t="str">
        <f t="shared" ref="AG20:AI20" si="4">V12</f>
        <v>2020-21</v>
      </c>
      <c r="AH20" s="661" t="str">
        <f t="shared" si="4"/>
        <v>2021-22</v>
      </c>
      <c r="AI20" s="661" t="str">
        <f t="shared" si="4"/>
        <v>2022-23</v>
      </c>
      <c r="AJ20" s="661" t="s">
        <v>554</v>
      </c>
    </row>
    <row r="21" spans="2:36" x14ac:dyDescent="0.25">
      <c r="B21" s="35" t="s">
        <v>543</v>
      </c>
      <c r="C21" s="24" t="s">
        <v>36</v>
      </c>
      <c r="D21" s="7"/>
      <c r="E21" s="7"/>
      <c r="F21" s="7"/>
      <c r="G21" s="7"/>
      <c r="H21" s="7"/>
      <c r="I21" s="7"/>
      <c r="J21" s="7"/>
      <c r="K21" s="7"/>
      <c r="L21" s="7"/>
      <c r="M21" s="7"/>
      <c r="N21" s="8"/>
      <c r="O21" s="8"/>
      <c r="P21" s="468"/>
      <c r="Q21" s="53"/>
      <c r="R21" s="53"/>
      <c r="S21" s="53"/>
      <c r="T21" s="150"/>
      <c r="U21" s="602">
        <f>U20</f>
        <v>16.831527077330378</v>
      </c>
      <c r="V21" s="447">
        <f>U21+V20</f>
        <v>34.374483311408383</v>
      </c>
      <c r="W21" s="447">
        <f t="shared" ref="W21:X21" si="5">V21+W20</f>
        <v>52.630559579528267</v>
      </c>
      <c r="X21" s="448">
        <f t="shared" si="5"/>
        <v>71.60945187763383</v>
      </c>
      <c r="AE21" s="661" t="s">
        <v>559</v>
      </c>
      <c r="AF21" s="662">
        <f>U23</f>
        <v>-16.831527077330378</v>
      </c>
      <c r="AG21" s="662">
        <f t="shared" ref="AG21:AI21" si="6">V23</f>
        <v>-17.542956234078002</v>
      </c>
      <c r="AH21" s="662">
        <f t="shared" si="6"/>
        <v>-18.25607626811988</v>
      </c>
      <c r="AI21" s="662">
        <f t="shared" si="6"/>
        <v>-18.97889229810556</v>
      </c>
      <c r="AJ21" s="662">
        <f>AI21</f>
        <v>-18.97889229810556</v>
      </c>
    </row>
    <row r="22" spans="2:36" x14ac:dyDescent="0.25">
      <c r="B22" s="35"/>
      <c r="C22" s="24"/>
      <c r="D22" s="7"/>
      <c r="E22" s="7"/>
      <c r="F22" s="7"/>
      <c r="G22" s="7"/>
      <c r="H22" s="7"/>
      <c r="I22" s="7"/>
      <c r="J22" s="7"/>
      <c r="K22" s="7"/>
      <c r="L22" s="7"/>
      <c r="M22" s="7"/>
      <c r="N22" s="8"/>
      <c r="O22" s="8"/>
      <c r="P22" s="90"/>
      <c r="Q22" s="35"/>
      <c r="R22" s="35"/>
      <c r="S22" s="35"/>
      <c r="T22" s="24"/>
      <c r="U22" s="605"/>
      <c r="V22" s="453"/>
      <c r="W22" s="453"/>
      <c r="X22" s="454"/>
      <c r="AE22" s="661" t="s">
        <v>560</v>
      </c>
      <c r="AF22" s="662">
        <f>U20</f>
        <v>16.831527077330378</v>
      </c>
      <c r="AG22" s="662">
        <f t="shared" ref="AG22:AI22" si="7">V20</f>
        <v>17.542956234078002</v>
      </c>
      <c r="AH22" s="662">
        <f t="shared" si="7"/>
        <v>18.25607626811988</v>
      </c>
      <c r="AI22" s="662">
        <f t="shared" si="7"/>
        <v>18.97889229810556</v>
      </c>
      <c r="AJ22" s="662">
        <f>AI22</f>
        <v>18.97889229810556</v>
      </c>
    </row>
    <row r="23" spans="2:36" x14ac:dyDescent="0.25">
      <c r="B23" s="35" t="s">
        <v>247</v>
      </c>
      <c r="C23" s="24" t="s">
        <v>36</v>
      </c>
      <c r="D23" s="7"/>
      <c r="E23" s="7"/>
      <c r="F23" s="7"/>
      <c r="G23" s="7"/>
      <c r="H23" s="7"/>
      <c r="I23" s="7"/>
      <c r="J23" s="7"/>
      <c r="K23" s="7"/>
      <c r="L23" s="7"/>
      <c r="M23" s="7"/>
      <c r="N23" s="8"/>
      <c r="O23" s="8"/>
      <c r="P23" s="347">
        <f>'4.Turnover'!P164</f>
        <v>-15.888720431768489</v>
      </c>
      <c r="Q23" s="40">
        <f>'4.Turnover'!Q164</f>
        <v>-15.62414884374523</v>
      </c>
      <c r="R23" s="40">
        <f>'4.Turnover'!R164</f>
        <v>-15.857272324603537</v>
      </c>
      <c r="S23" s="40">
        <f>'4.Turnover'!S164</f>
        <v>-16.044882694836843</v>
      </c>
      <c r="T23" s="25">
        <f>'4.Turnover'!T164</f>
        <v>-16.312141008663897</v>
      </c>
      <c r="U23" s="347">
        <f>'4.Turnover'!U164</f>
        <v>-16.831527077330378</v>
      </c>
      <c r="V23" s="40">
        <f>'4.Turnover'!V164</f>
        <v>-17.542956234078002</v>
      </c>
      <c r="W23" s="40">
        <f>'4.Turnover'!W164</f>
        <v>-18.25607626811988</v>
      </c>
      <c r="X23" s="25">
        <f>'4.Turnover'!X164</f>
        <v>-18.97889229810556</v>
      </c>
    </row>
    <row r="24" spans="2:36" x14ac:dyDescent="0.25">
      <c r="B24" s="21" t="s">
        <v>246</v>
      </c>
      <c r="C24" s="189" t="s">
        <v>36</v>
      </c>
      <c r="D24" s="12"/>
      <c r="E24" s="12"/>
      <c r="F24" s="12"/>
      <c r="G24" s="12"/>
      <c r="H24" s="12"/>
      <c r="I24" s="12"/>
      <c r="J24" s="12"/>
      <c r="K24" s="12"/>
      <c r="L24" s="12"/>
      <c r="M24" s="12"/>
      <c r="N24" s="13"/>
      <c r="O24" s="13"/>
      <c r="P24" s="601">
        <f>P23</f>
        <v>-15.888720431768489</v>
      </c>
      <c r="Q24" s="78">
        <f>P24+Q23</f>
        <v>-31.512869275513719</v>
      </c>
      <c r="R24" s="78">
        <f t="shared" ref="R24:X24" si="8">Q24+R23</f>
        <v>-47.370141600117257</v>
      </c>
      <c r="S24" s="78">
        <f t="shared" si="8"/>
        <v>-63.415024294954101</v>
      </c>
      <c r="T24" s="231">
        <f t="shared" si="8"/>
        <v>-79.727165303617994</v>
      </c>
      <c r="U24" s="78">
        <f t="shared" si="8"/>
        <v>-96.558692380948372</v>
      </c>
      <c r="V24" s="78">
        <f t="shared" si="8"/>
        <v>-114.10164861502638</v>
      </c>
      <c r="W24" s="78">
        <f t="shared" si="8"/>
        <v>-132.35772488314626</v>
      </c>
      <c r="X24" s="231">
        <f t="shared" si="8"/>
        <v>-151.33661718125182</v>
      </c>
    </row>
    <row r="25" spans="2:36" x14ac:dyDescent="0.25">
      <c r="B25" s="35"/>
      <c r="C25" s="24"/>
      <c r="D25" s="7"/>
      <c r="E25" s="7"/>
      <c r="F25" s="7"/>
      <c r="G25" s="7"/>
      <c r="H25" s="7"/>
      <c r="I25" s="7"/>
      <c r="J25" s="7"/>
      <c r="K25" s="7"/>
      <c r="L25" s="7"/>
      <c r="M25" s="7"/>
      <c r="N25" s="8"/>
      <c r="O25" s="8"/>
      <c r="P25" s="35"/>
      <c r="Q25" s="35"/>
      <c r="R25" s="35"/>
      <c r="S25" s="35"/>
      <c r="T25" s="35"/>
      <c r="U25" s="35"/>
      <c r="V25" s="35"/>
      <c r="W25" s="35"/>
      <c r="X25" s="24"/>
    </row>
    <row r="26" spans="2:36" s="54" customFormat="1" ht="13.5" customHeight="1" x14ac:dyDescent="0.3">
      <c r="B26" s="335"/>
      <c r="C26" s="334"/>
      <c r="N26" s="204"/>
      <c r="O26" s="204"/>
      <c r="P26" s="295"/>
      <c r="Q26" s="295"/>
      <c r="R26" s="295"/>
      <c r="S26" s="295"/>
      <c r="T26" s="295"/>
      <c r="U26" s="295"/>
      <c r="V26" s="295"/>
      <c r="W26" s="295"/>
      <c r="X26" s="300"/>
    </row>
    <row r="27" spans="2:36" s="54" customFormat="1" ht="18.75" customHeight="1" x14ac:dyDescent="0.3">
      <c r="B27" s="335" t="s">
        <v>424</v>
      </c>
      <c r="C27" s="334"/>
      <c r="N27" s="204"/>
      <c r="O27" s="204"/>
      <c r="P27" s="295"/>
      <c r="Q27" s="295"/>
      <c r="R27" s="295"/>
      <c r="S27" s="295"/>
      <c r="T27" s="295"/>
      <c r="U27" s="295"/>
      <c r="V27" s="295"/>
      <c r="W27" s="295"/>
      <c r="X27" s="300"/>
    </row>
    <row r="28" spans="2:36" s="54" customFormat="1" ht="18.75" customHeight="1" x14ac:dyDescent="0.25">
      <c r="B28" s="56" t="s">
        <v>348</v>
      </c>
      <c r="C28" s="292" t="s">
        <v>36</v>
      </c>
      <c r="N28" s="204"/>
      <c r="O28" s="469">
        <f>'Appendix B State Taxes'!M61</f>
        <v>26191.62</v>
      </c>
      <c r="P28" s="467">
        <f>'Appendix B State Taxes'!N61</f>
        <v>27081.040000000001</v>
      </c>
      <c r="Q28" s="467">
        <f>'Appendix B State Taxes'!O61</f>
        <v>27970.46</v>
      </c>
      <c r="R28" s="467">
        <f>'Appendix B State Taxes'!P61</f>
        <v>28859.879999999997</v>
      </c>
      <c r="S28" s="467">
        <f>'Appendix B State Taxes'!Q61</f>
        <v>29749.3</v>
      </c>
      <c r="T28" s="467">
        <f>'Appendix B State Taxes'!R61</f>
        <v>30638.720000000001</v>
      </c>
      <c r="U28" s="467">
        <f>'Appendix B State Taxes'!S61</f>
        <v>31528.14</v>
      </c>
      <c r="V28" s="467">
        <f>'Appendix B State Taxes'!T61</f>
        <v>32417.559999999998</v>
      </c>
      <c r="W28" s="467">
        <f>'Appendix B State Taxes'!U61</f>
        <v>33306.979999999996</v>
      </c>
      <c r="X28" s="469">
        <f>'Appendix B State Taxes'!V61</f>
        <v>34196.399999999994</v>
      </c>
    </row>
    <row r="29" spans="2:36" s="54" customFormat="1" ht="20.25" customHeight="1" x14ac:dyDescent="0.25">
      <c r="B29" s="56" t="s">
        <v>333</v>
      </c>
      <c r="C29" s="292"/>
      <c r="N29" s="204"/>
      <c r="O29" s="204"/>
      <c r="P29" s="295"/>
      <c r="Q29" s="295"/>
      <c r="R29" s="295"/>
      <c r="S29" s="295"/>
      <c r="T29" s="295"/>
      <c r="U29" s="295"/>
      <c r="V29" s="295"/>
      <c r="W29" s="295"/>
      <c r="X29" s="300"/>
    </row>
    <row r="30" spans="2:36" s="54" customFormat="1" ht="17.25" customHeight="1" x14ac:dyDescent="0.25">
      <c r="B30" s="333" t="s">
        <v>334</v>
      </c>
      <c r="C30" s="292" t="s">
        <v>36</v>
      </c>
      <c r="N30" s="204"/>
      <c r="O30" s="25">
        <f>'4.Turnover'!O97</f>
        <v>171.25370662034831</v>
      </c>
      <c r="P30" s="40">
        <f>'4.Turnover'!P97</f>
        <v>178.19766093353974</v>
      </c>
      <c r="Q30" s="40">
        <f>'4.Turnover'!Q97</f>
        <v>178.57511466935338</v>
      </c>
      <c r="R30" s="40">
        <f>'4.Turnover'!R97</f>
        <v>179.97838890437998</v>
      </c>
      <c r="S30" s="40">
        <f>'4.Turnover'!S97</f>
        <v>181.25885727558884</v>
      </c>
      <c r="T30" s="40">
        <f>'4.Turnover'!T97</f>
        <v>182.79502893689252</v>
      </c>
      <c r="U30" s="40">
        <f>'4.Turnover'!U97</f>
        <v>184.23088796547802</v>
      </c>
      <c r="V30" s="40">
        <f>'4.Turnover'!V97</f>
        <v>185.67535508149763</v>
      </c>
      <c r="W30" s="40">
        <f>'4.Turnover'!W97</f>
        <v>187.12678463343474</v>
      </c>
      <c r="X30" s="25">
        <f>'4.Turnover'!X97</f>
        <v>188.6181388745523</v>
      </c>
    </row>
    <row r="31" spans="2:36" s="54" customFormat="1" ht="17.25" customHeight="1" x14ac:dyDescent="0.25">
      <c r="B31" s="333" t="s">
        <v>331</v>
      </c>
      <c r="C31" s="292" t="s">
        <v>36</v>
      </c>
      <c r="N31" s="204"/>
      <c r="O31" s="25">
        <f>'4.Turnover'!O98</f>
        <v>31.804259800921834</v>
      </c>
      <c r="P31" s="40">
        <f>'4.Turnover'!P98</f>
        <v>33.093851316228815</v>
      </c>
      <c r="Q31" s="40">
        <f>'4.Turnover'!Q98</f>
        <v>33.163949867165627</v>
      </c>
      <c r="R31" s="40">
        <f>'4.Turnover'!R98</f>
        <v>33.424557939384854</v>
      </c>
      <c r="S31" s="40">
        <f>'4.Turnover'!S98</f>
        <v>33.662359208323643</v>
      </c>
      <c r="T31" s="40">
        <f>'4.Turnover'!T98</f>
        <v>33.947648231137187</v>
      </c>
      <c r="U31" s="40">
        <f>'4.Turnover'!U98</f>
        <v>34.214307765017352</v>
      </c>
      <c r="V31" s="40">
        <f>'4.Turnover'!V98</f>
        <v>34.48256594370671</v>
      </c>
      <c r="W31" s="40">
        <f>'4.Turnover'!W98</f>
        <v>34.752117146209315</v>
      </c>
      <c r="X31" s="25">
        <f>'4.Turnover'!X98</f>
        <v>35.02908293384543</v>
      </c>
    </row>
    <row r="32" spans="2:36" s="54" customFormat="1" ht="17.25" customHeight="1" x14ac:dyDescent="0.25">
      <c r="B32" s="333" t="s">
        <v>335</v>
      </c>
      <c r="C32" s="292" t="s">
        <v>36</v>
      </c>
      <c r="N32" s="204"/>
      <c r="O32" s="25">
        <f>'4.Turnover'!O99</f>
        <v>41.590185893513166</v>
      </c>
      <c r="P32" s="40">
        <f>'4.Turnover'!P99</f>
        <v>43.276574798145369</v>
      </c>
      <c r="Q32" s="40">
        <f>'4.Turnover'!Q99</f>
        <v>43.368242133985824</v>
      </c>
      <c r="R32" s="40">
        <f>'4.Turnover'!R99</f>
        <v>43.709037305349433</v>
      </c>
      <c r="S32" s="40">
        <f>'4.Turnover'!S99</f>
        <v>44.020008195500154</v>
      </c>
      <c r="T32" s="40">
        <f>'4.Turnover'!T99</f>
        <v>44.393078456102472</v>
      </c>
      <c r="U32" s="40">
        <f>'4.Turnover'!U99</f>
        <v>44.741787077330379</v>
      </c>
      <c r="V32" s="40">
        <f>'4.Turnover'!V99</f>
        <v>45.092586234078006</v>
      </c>
      <c r="W32" s="40">
        <f>'4.Turnover'!W99</f>
        <v>45.445076268119877</v>
      </c>
      <c r="X32" s="25">
        <f>'4.Turnover'!X99</f>
        <v>45.807262298105563</v>
      </c>
    </row>
    <row r="33" spans="2:24" s="54" customFormat="1" ht="17.25" customHeight="1" x14ac:dyDescent="0.25">
      <c r="B33" s="333" t="s">
        <v>345</v>
      </c>
      <c r="C33" s="292" t="s">
        <v>36</v>
      </c>
      <c r="N33" s="204"/>
      <c r="O33" s="150">
        <f>SUM(O30:O32)</f>
        <v>244.64815231478332</v>
      </c>
      <c r="P33" s="53">
        <f>SUM(P30:P32)</f>
        <v>254.56808704791391</v>
      </c>
      <c r="Q33" s="53">
        <f t="shared" ref="Q33:X33" si="9">SUM(Q30:Q32)</f>
        <v>255.10730667050484</v>
      </c>
      <c r="R33" s="53">
        <f t="shared" si="9"/>
        <v>257.11198414911428</v>
      </c>
      <c r="S33" s="53">
        <f t="shared" si="9"/>
        <v>258.94122467941264</v>
      </c>
      <c r="T33" s="53">
        <f t="shared" si="9"/>
        <v>261.13575562413217</v>
      </c>
      <c r="U33" s="53">
        <f t="shared" si="9"/>
        <v>263.18698280782576</v>
      </c>
      <c r="V33" s="53">
        <f t="shared" si="9"/>
        <v>265.25050725928236</v>
      </c>
      <c r="W33" s="53">
        <f t="shared" si="9"/>
        <v>267.32397804776394</v>
      </c>
      <c r="X33" s="150">
        <f t="shared" si="9"/>
        <v>269.45448410650329</v>
      </c>
    </row>
    <row r="34" spans="2:24" s="54" customFormat="1" ht="17.25" customHeight="1" x14ac:dyDescent="0.25">
      <c r="B34" s="56" t="s">
        <v>336</v>
      </c>
      <c r="C34" s="292"/>
      <c r="N34" s="204"/>
      <c r="O34" s="204"/>
      <c r="P34" s="295"/>
      <c r="Q34" s="295"/>
      <c r="R34" s="295"/>
      <c r="S34" s="295"/>
      <c r="T34" s="295"/>
      <c r="U34" s="295"/>
      <c r="V34" s="295"/>
      <c r="W34" s="295"/>
      <c r="X34" s="300"/>
    </row>
    <row r="35" spans="2:24" s="54" customFormat="1" ht="17.25" customHeight="1" x14ac:dyDescent="0.25">
      <c r="B35" s="333" t="s">
        <v>337</v>
      </c>
      <c r="C35" s="292" t="s">
        <v>36</v>
      </c>
      <c r="N35" s="204"/>
      <c r="O35" s="150">
        <f>'4.Turnover'!O15</f>
        <v>3874.7010900051855</v>
      </c>
      <c r="P35" s="53">
        <f>'4.Turnover'!P15</f>
        <v>3942.4286010647543</v>
      </c>
      <c r="Q35" s="53">
        <f>'4.Turnover'!Q15</f>
        <v>3979.4362593445521</v>
      </c>
      <c r="R35" s="53">
        <f>'4.Turnover'!R15</f>
        <v>4017.0096477580955</v>
      </c>
      <c r="S35" s="53">
        <f>'4.Turnover'!S15</f>
        <v>4055.0756873202804</v>
      </c>
      <c r="T35" s="53">
        <f>'4.Turnover'!T15</f>
        <v>4093.5746041473822</v>
      </c>
      <c r="U35" s="53">
        <f>'4.Turnover'!U15</f>
        <v>4132.456883576684</v>
      </c>
      <c r="V35" s="53">
        <f>'4.Turnover'!V15</f>
        <v>4171.6810489041918</v>
      </c>
      <c r="W35" s="53">
        <f>'4.Turnover'!W15</f>
        <v>4211.2120105449285</v>
      </c>
      <c r="X35" s="150">
        <f>'4.Turnover'!X15</f>
        <v>4251.0198183877892</v>
      </c>
    </row>
    <row r="36" spans="2:24" s="54" customFormat="1" ht="17.25" customHeight="1" x14ac:dyDescent="0.25">
      <c r="B36" s="333" t="s">
        <v>338</v>
      </c>
      <c r="C36" s="292" t="s">
        <v>36</v>
      </c>
      <c r="N36" s="204"/>
      <c r="O36" s="150">
        <f>'4.Turnover'!O38</f>
        <v>913.61251699000002</v>
      </c>
      <c r="P36" s="53">
        <f>'4.Turnover'!P38</f>
        <v>1054.3419999999999</v>
      </c>
      <c r="Q36" s="53">
        <f>'4.Turnover'!Q38</f>
        <v>1037.3309999999999</v>
      </c>
      <c r="R36" s="53">
        <f>'4.Turnover'!R38</f>
        <v>1052.32</v>
      </c>
      <c r="S36" s="53">
        <f>'4.Turnover'!S38</f>
        <v>1062.9177500000001</v>
      </c>
      <c r="T36" s="53">
        <f>'4.Turnover'!T38</f>
        <v>1081.2001874999999</v>
      </c>
      <c r="U36" s="53">
        <f>'4.Turnover'!U38</f>
        <v>1095.9147343750001</v>
      </c>
      <c r="V36" s="53">
        <f>'4.Turnover'!V38</f>
        <v>1110.5606679687498</v>
      </c>
      <c r="W36" s="53">
        <f>'4.Turnover'!W38</f>
        <v>1125.1208349609374</v>
      </c>
      <c r="X36" s="150">
        <f>'4.Turnover'!X38</f>
        <v>1140.6716062011719</v>
      </c>
    </row>
    <row r="37" spans="2:24" s="54" customFormat="1" ht="17.25" customHeight="1" x14ac:dyDescent="0.25">
      <c r="B37" s="333" t="s">
        <v>339</v>
      </c>
      <c r="C37" s="292" t="s">
        <v>36</v>
      </c>
      <c r="N37" s="204"/>
      <c r="O37" s="150">
        <f>'4.Turnover'!O61</f>
        <v>648.31200000000001</v>
      </c>
      <c r="P37" s="53">
        <f>'4.Turnover'!P61</f>
        <v>660.298</v>
      </c>
      <c r="Q37" s="53">
        <f>'4.Turnover'!Q61</f>
        <v>652.28399999999999</v>
      </c>
      <c r="R37" s="53">
        <f>'4.Turnover'!R61</f>
        <v>644.27</v>
      </c>
      <c r="S37" s="53">
        <f>'4.Turnover'!S61</f>
        <v>636.25600000000009</v>
      </c>
      <c r="T37" s="53">
        <f>'4.Turnover'!T61</f>
        <v>628.24199999999996</v>
      </c>
      <c r="U37" s="53">
        <f>'4.Turnover'!U61</f>
        <v>620.22800000000007</v>
      </c>
      <c r="V37" s="53">
        <f>'4.Turnover'!V61</f>
        <v>612.21400000000006</v>
      </c>
      <c r="W37" s="53">
        <f>'4.Turnover'!W61</f>
        <v>604.20000000000005</v>
      </c>
      <c r="X37" s="150">
        <f>'4.Turnover'!X61</f>
        <v>596.18600000000004</v>
      </c>
    </row>
    <row r="38" spans="2:24" s="54" customFormat="1" ht="17.25" customHeight="1" x14ac:dyDescent="0.25">
      <c r="B38" s="333" t="s">
        <v>346</v>
      </c>
      <c r="C38" s="292" t="s">
        <v>36</v>
      </c>
      <c r="N38" s="204"/>
      <c r="O38" s="150">
        <f>SUM(O35:O37)</f>
        <v>5436.6256069951851</v>
      </c>
      <c r="P38" s="53">
        <f>SUM(P35:P37)</f>
        <v>5657.0686010647541</v>
      </c>
      <c r="Q38" s="53">
        <f t="shared" ref="Q38:W38" si="10">SUM(Q35:Q37)</f>
        <v>5669.0512593445519</v>
      </c>
      <c r="R38" s="53">
        <f t="shared" si="10"/>
        <v>5713.5996477580957</v>
      </c>
      <c r="S38" s="53">
        <f t="shared" si="10"/>
        <v>5754.2494373202808</v>
      </c>
      <c r="T38" s="53">
        <f t="shared" si="10"/>
        <v>5803.016791647382</v>
      </c>
      <c r="U38" s="53">
        <f t="shared" si="10"/>
        <v>5848.5996179516842</v>
      </c>
      <c r="V38" s="53">
        <f t="shared" si="10"/>
        <v>5894.4557168729416</v>
      </c>
      <c r="W38" s="53">
        <f t="shared" si="10"/>
        <v>5940.5328455058652</v>
      </c>
      <c r="X38" s="150">
        <f>SUM(X35:X37)</f>
        <v>5987.8774245889608</v>
      </c>
    </row>
    <row r="39" spans="2:24" s="54" customFormat="1" ht="17.25" customHeight="1" x14ac:dyDescent="0.25">
      <c r="B39" s="56" t="s">
        <v>343</v>
      </c>
      <c r="C39" s="292"/>
      <c r="N39" s="204"/>
      <c r="O39" s="204"/>
      <c r="P39" s="295"/>
      <c r="Q39" s="295"/>
      <c r="R39" s="295"/>
      <c r="S39" s="295"/>
      <c r="T39" s="295"/>
      <c r="U39" s="295"/>
      <c r="V39" s="295"/>
      <c r="W39" s="295"/>
      <c r="X39" s="300"/>
    </row>
    <row r="40" spans="2:24" s="54" customFormat="1" ht="17.25" customHeight="1" x14ac:dyDescent="0.25">
      <c r="B40" s="333" t="s">
        <v>340</v>
      </c>
      <c r="C40" s="292" t="s">
        <v>252</v>
      </c>
      <c r="N40" s="204"/>
      <c r="O40" s="592">
        <f>'[2]5.Employ'!L287*1000</f>
        <v>5039.8435954747756</v>
      </c>
      <c r="P40" s="618">
        <f>'[2]5.Employ'!M287*1000</f>
        <v>5100.5799258214756</v>
      </c>
      <c r="Q40" s="618">
        <f>'[2]5.Employ'!N287*1000</f>
        <v>5133.6178009537061</v>
      </c>
      <c r="R40" s="618">
        <f>'[2]5.Employ'!O287*1000</f>
        <v>5181.7538371834735</v>
      </c>
      <c r="S40" s="618">
        <f>'[2]5.Employ'!P287*1000</f>
        <v>5230.5781764210833</v>
      </c>
      <c r="T40" s="618">
        <f>'[2]5.Employ'!Q287*1000</f>
        <v>5280.0073061362782</v>
      </c>
      <c r="U40" s="618">
        <f>'[2]5.Employ'!R287*1000</f>
        <v>5329.9720473747921</v>
      </c>
      <c r="V40" s="618">
        <f>'[2]5.Employ'!S287*1000</f>
        <v>5380.4144513422425</v>
      </c>
      <c r="W40" s="618">
        <f>'[2]5.Employ'!T287*1000</f>
        <v>5431.2854929486639</v>
      </c>
      <c r="X40" s="592">
        <f>'[2]5.Employ'!U287*1000</f>
        <v>5482.5433276726044</v>
      </c>
    </row>
    <row r="41" spans="2:24" s="54" customFormat="1" ht="15.75" customHeight="1" x14ac:dyDescent="0.25">
      <c r="B41" s="333" t="s">
        <v>341</v>
      </c>
      <c r="C41" s="292" t="s">
        <v>252</v>
      </c>
      <c r="N41" s="204"/>
      <c r="O41" s="592">
        <f>'[2]5.Employ'!L288*1000</f>
        <v>855.49098696068586</v>
      </c>
      <c r="P41" s="618">
        <f>'[2]5.Employ'!M288*1000</f>
        <v>987.26764509069869</v>
      </c>
      <c r="Q41" s="618">
        <f>'[2]5.Employ'!N288*1000</f>
        <v>971.33883839359476</v>
      </c>
      <c r="R41" s="618">
        <f>'[2]5.Employ'!O288*1000</f>
        <v>985.37427920147741</v>
      </c>
      <c r="S41" s="618">
        <f>'[2]5.Employ'!P288*1000</f>
        <v>995.29782932635158</v>
      </c>
      <c r="T41" s="618">
        <f>'[2]5.Employ'!Q288*1000</f>
        <v>1012.4171881464903</v>
      </c>
      <c r="U41" s="618">
        <f>'[2]5.Employ'!R288*1000</f>
        <v>1026.1956357866848</v>
      </c>
      <c r="V41" s="618">
        <f>'[2]5.Employ'!S288*1000</f>
        <v>1039.9098351349571</v>
      </c>
      <c r="W41" s="618">
        <f>'[2]5.Employ'!T288*1000</f>
        <v>1053.5437241183272</v>
      </c>
      <c r="X41" s="592">
        <f>'[2]5.Employ'!U288*1000</f>
        <v>1068.1051978163214</v>
      </c>
    </row>
    <row r="42" spans="2:24" s="54" customFormat="1" ht="15" customHeight="1" x14ac:dyDescent="0.25">
      <c r="B42" s="333" t="s">
        <v>342</v>
      </c>
      <c r="C42" s="292" t="s">
        <v>252</v>
      </c>
      <c r="N42" s="204"/>
      <c r="O42" s="592">
        <f>'[2]5.Employ'!L289*1000</f>
        <v>108.87339026886259</v>
      </c>
      <c r="P42" s="618">
        <f>'[2]5.Employ'!M289*1000</f>
        <v>110.88624280863139</v>
      </c>
      <c r="Q42" s="618">
        <f>'[2]5.Employ'!N289*1000</f>
        <v>109.54042266398704</v>
      </c>
      <c r="R42" s="618">
        <f>'[2]5.Employ'!O289*1000</f>
        <v>108.19460251934269</v>
      </c>
      <c r="S42" s="618">
        <f>'[2]5.Employ'!P289*1000</f>
        <v>106.84878237469836</v>
      </c>
      <c r="T42" s="618">
        <f>'[2]5.Employ'!Q289*1000</f>
        <v>105.502962230054</v>
      </c>
      <c r="U42" s="618">
        <f>'[2]5.Employ'!R289*1000</f>
        <v>104.15714208540967</v>
      </c>
      <c r="V42" s="618">
        <f>'[2]5.Employ'!S289*1000</f>
        <v>102.81132194076534</v>
      </c>
      <c r="W42" s="618">
        <f>'[2]5.Employ'!T289*1000</f>
        <v>101.46550179612099</v>
      </c>
      <c r="X42" s="592">
        <f>'[2]5.Employ'!U289*1000</f>
        <v>100.11968165147665</v>
      </c>
    </row>
    <row r="43" spans="2:24" s="54" customFormat="1" ht="15" customHeight="1" x14ac:dyDescent="0.25">
      <c r="B43" s="333" t="s">
        <v>345</v>
      </c>
      <c r="C43" s="292" t="s">
        <v>252</v>
      </c>
      <c r="N43" s="204"/>
      <c r="O43" s="150">
        <f>SUM(O40:O42)</f>
        <v>6004.2079727043247</v>
      </c>
      <c r="P43" s="53">
        <f>SUM(P40:P42)</f>
        <v>6198.7338137208053</v>
      </c>
      <c r="Q43" s="53">
        <f t="shared" ref="Q43:X43" si="11">SUM(Q40:Q42)</f>
        <v>6214.4970620112872</v>
      </c>
      <c r="R43" s="53">
        <f t="shared" si="11"/>
        <v>6275.3227189042937</v>
      </c>
      <c r="S43" s="53">
        <f t="shared" si="11"/>
        <v>6332.7247881221328</v>
      </c>
      <c r="T43" s="53">
        <f t="shared" si="11"/>
        <v>6397.9274565128226</v>
      </c>
      <c r="U43" s="53">
        <f t="shared" si="11"/>
        <v>6460.3248252468866</v>
      </c>
      <c r="V43" s="53">
        <f t="shared" si="11"/>
        <v>6523.1356084179652</v>
      </c>
      <c r="W43" s="53">
        <f t="shared" si="11"/>
        <v>6586.2947188631124</v>
      </c>
      <c r="X43" s="150">
        <f t="shared" si="11"/>
        <v>6650.7682071404024</v>
      </c>
    </row>
    <row r="44" spans="2:24" s="54" customFormat="1" ht="15" customHeight="1" x14ac:dyDescent="0.25">
      <c r="B44" s="333" t="s">
        <v>344</v>
      </c>
      <c r="C44" s="292" t="s">
        <v>252</v>
      </c>
      <c r="N44" s="204"/>
      <c r="O44" s="592">
        <f ca="1">SUM('[2]5.Employ'!L273:L285)*1000</f>
        <v>3832477.3144211532</v>
      </c>
      <c r="P44" s="618">
        <f ca="1">SUM('[2]5.Employ'!M273:M285)*1000</f>
        <v>3874852.9112148513</v>
      </c>
      <c r="Q44" s="618">
        <f ca="1">SUM('[2]5.Employ'!N273:N285)*1000</f>
        <v>3917181.6420871736</v>
      </c>
      <c r="R44" s="618">
        <f ca="1">SUM('[2]5.Employ'!O273:O285)*1000</f>
        <v>3956524.6941577429</v>
      </c>
      <c r="S44" s="618">
        <f ca="1">SUM('[2]5.Employ'!P273:P285)*1000</f>
        <v>3994493.2173964689</v>
      </c>
      <c r="T44" s="618">
        <f ca="1">SUM('[2]5.Employ'!Q273:Q285)*1000</f>
        <v>4030981.9510143041</v>
      </c>
      <c r="U44" s="618">
        <f ca="1">SUM('[2]5.Employ'!R273:R285)*1000</f>
        <v>4066060.1854143678</v>
      </c>
      <c r="V44" s="618">
        <f ca="1">SUM('[2]5.Employ'!S273:S285)*1000</f>
        <v>4102980.24070716</v>
      </c>
      <c r="W44" s="618">
        <f ca="1">SUM('[2]5.Employ'!T273:T285)*1000</f>
        <v>4140100.4931091811</v>
      </c>
      <c r="X44" s="592">
        <f ca="1">SUM('[2]5.Employ'!U273:U285)*1000</f>
        <v>4177472.5209513619</v>
      </c>
    </row>
    <row r="45" spans="2:24" s="54" customFormat="1" ht="15" customHeight="1" x14ac:dyDescent="0.25">
      <c r="B45" s="56" t="s">
        <v>325</v>
      </c>
      <c r="C45" s="292"/>
      <c r="N45" s="204"/>
      <c r="O45" s="150"/>
      <c r="P45" s="53"/>
      <c r="Q45" s="53"/>
      <c r="R45" s="53"/>
      <c r="S45" s="53"/>
      <c r="T45" s="53"/>
      <c r="U45" s="53"/>
      <c r="V45" s="53"/>
      <c r="W45" s="53"/>
      <c r="X45" s="150"/>
    </row>
    <row r="46" spans="2:24" s="54" customFormat="1" ht="15" customHeight="1" x14ac:dyDescent="0.25">
      <c r="B46" s="333" t="s">
        <v>340</v>
      </c>
      <c r="C46" s="292" t="s">
        <v>36</v>
      </c>
      <c r="N46" s="204"/>
      <c r="O46" s="592">
        <f>'[2]4.IGVA'!L327</f>
        <v>604.77959442416727</v>
      </c>
      <c r="P46" s="618">
        <f>'[2]4.IGVA'!M327</f>
        <v>612.06793433750715</v>
      </c>
      <c r="Q46" s="618">
        <f>'[2]4.IGVA'!N327</f>
        <v>616.03246862207254</v>
      </c>
      <c r="R46" s="618">
        <f>'[2]4.IGVA'!O327</f>
        <v>621.80877733418504</v>
      </c>
      <c r="S46" s="618">
        <f>'[2]4.IGVA'!P327</f>
        <v>627.66768218366542</v>
      </c>
      <c r="T46" s="618">
        <f>'[2]4.IGVA'!Q327</f>
        <v>633.59916169400901</v>
      </c>
      <c r="U46" s="618">
        <f>'[2]4.IGVA'!R327</f>
        <v>639.59491441317448</v>
      </c>
      <c r="V46" s="618">
        <f>'[2]4.IGVA'!S327</f>
        <v>645.64798650465889</v>
      </c>
      <c r="W46" s="618">
        <f>'[2]4.IGVA'!T327</f>
        <v>651.7524949735905</v>
      </c>
      <c r="X46" s="592">
        <f>'[2]4.IGVA'!U327</f>
        <v>657.90341849098695</v>
      </c>
    </row>
    <row r="47" spans="2:24" s="54" customFormat="1" ht="15" customHeight="1" x14ac:dyDescent="0.25">
      <c r="B47" s="333" t="s">
        <v>341</v>
      </c>
      <c r="C47" s="292" t="s">
        <v>36</v>
      </c>
      <c r="N47" s="204"/>
      <c r="O47" s="592">
        <f>'[2]4.IGVA'!L328</f>
        <v>102.65891843528229</v>
      </c>
      <c r="P47" s="618">
        <f>'[2]4.IGVA'!M328</f>
        <v>118.47211741088383</v>
      </c>
      <c r="Q47" s="618">
        <f>'[2]4.IGVA'!N328</f>
        <v>116.56066060723137</v>
      </c>
      <c r="R47" s="618">
        <f>'[2]4.IGVA'!O328</f>
        <v>118.24491350417728</v>
      </c>
      <c r="S47" s="618">
        <f>'[2]4.IGVA'!P328</f>
        <v>119.43573951916218</v>
      </c>
      <c r="T47" s="618">
        <f>'[2]4.IGVA'!Q328</f>
        <v>121.49006257757883</v>
      </c>
      <c r="U47" s="618">
        <f>'[2]4.IGVA'!R328</f>
        <v>123.14347629440218</v>
      </c>
      <c r="V47" s="618">
        <f>'[2]4.IGVA'!S328</f>
        <v>124.78918021619485</v>
      </c>
      <c r="W47" s="618">
        <f>'[2]4.IGVA'!T328</f>
        <v>126.42524689419926</v>
      </c>
      <c r="X47" s="592">
        <f>'[2]4.IGVA'!U328</f>
        <v>128.17262373795856</v>
      </c>
    </row>
    <row r="48" spans="2:24" s="54" customFormat="1" ht="15" customHeight="1" x14ac:dyDescent="0.25">
      <c r="B48" s="333" t="s">
        <v>342</v>
      </c>
      <c r="C48" s="292" t="s">
        <v>36</v>
      </c>
      <c r="N48" s="204"/>
      <c r="O48" s="592">
        <f>'[2]4.IGVA'!L329</f>
        <v>12.835960627557233</v>
      </c>
      <c r="P48" s="618">
        <f>'[2]4.IGVA'!M329</f>
        <v>13.073272020963341</v>
      </c>
      <c r="Q48" s="618">
        <f>'[2]4.IGVA'!N329</f>
        <v>12.914602447564663</v>
      </c>
      <c r="R48" s="618">
        <f>'[2]4.IGVA'!O329</f>
        <v>12.755932874165985</v>
      </c>
      <c r="S48" s="618">
        <f>'[2]4.IGVA'!P329</f>
        <v>12.59726330076731</v>
      </c>
      <c r="T48" s="618">
        <f>'[2]4.IGVA'!Q329</f>
        <v>12.438593727368628</v>
      </c>
      <c r="U48" s="618">
        <f>'[2]4.IGVA'!R329</f>
        <v>12.279924153969953</v>
      </c>
      <c r="V48" s="618">
        <f>'[2]4.IGVA'!S329</f>
        <v>12.121254580571275</v>
      </c>
      <c r="W48" s="618">
        <f>'[2]4.IGVA'!T329</f>
        <v>11.962585007172597</v>
      </c>
      <c r="X48" s="592">
        <f>'[2]4.IGVA'!U329</f>
        <v>11.80391543377392</v>
      </c>
    </row>
    <row r="49" spans="2:26" s="54" customFormat="1" ht="15" customHeight="1" x14ac:dyDescent="0.25">
      <c r="B49" s="333" t="s">
        <v>345</v>
      </c>
      <c r="C49" s="292" t="s">
        <v>36</v>
      </c>
      <c r="N49" s="204"/>
      <c r="O49" s="150">
        <f>SUM(O46:O48)</f>
        <v>720.27447348700684</v>
      </c>
      <c r="P49" s="53">
        <f>SUM(P46:P48)</f>
        <v>743.61332376935434</v>
      </c>
      <c r="Q49" s="53">
        <f t="shared" ref="Q49:X49" si="12">SUM(Q46:Q48)</f>
        <v>745.50773167686862</v>
      </c>
      <c r="R49" s="53">
        <f t="shared" si="12"/>
        <v>752.80962371252826</v>
      </c>
      <c r="S49" s="53">
        <f t="shared" si="12"/>
        <v>759.70068500359491</v>
      </c>
      <c r="T49" s="53">
        <f t="shared" si="12"/>
        <v>767.52781799895638</v>
      </c>
      <c r="U49" s="53">
        <f t="shared" si="12"/>
        <v>775.01831486154663</v>
      </c>
      <c r="V49" s="53">
        <f t="shared" si="12"/>
        <v>782.55842130142503</v>
      </c>
      <c r="W49" s="53">
        <f t="shared" si="12"/>
        <v>790.1403268749624</v>
      </c>
      <c r="X49" s="150">
        <f t="shared" si="12"/>
        <v>797.87995766271945</v>
      </c>
    </row>
    <row r="50" spans="2:26" s="54" customFormat="1" ht="15" customHeight="1" x14ac:dyDescent="0.25">
      <c r="B50" s="333" t="s">
        <v>344</v>
      </c>
      <c r="C50" s="292" t="s">
        <v>36</v>
      </c>
      <c r="N50" s="204"/>
      <c r="O50" s="592">
        <f ca="1">SUM('[2]4.IGVA'!L313:L326)</f>
        <v>449644.54157212918</v>
      </c>
      <c r="P50" s="618">
        <f ca="1">SUM('[2]4.IGVA'!M313:M326)</f>
        <v>460777.50023273035</v>
      </c>
      <c r="Q50" s="618">
        <f ca="1">SUM('[2]4.IGVA'!N313:N326)</f>
        <v>472117.29764699657</v>
      </c>
      <c r="R50" s="618">
        <f ca="1">SUM('[2]4.IGVA'!O313:O326)</f>
        <v>483897.25862668268</v>
      </c>
      <c r="S50" s="618">
        <f ca="1">SUM('[2]4.IGVA'!P313:P326)</f>
        <v>496589.84120172873</v>
      </c>
      <c r="T50" s="618">
        <f ca="1">SUM('[2]4.IGVA'!Q313:Q326)</f>
        <v>509312.19219540583</v>
      </c>
      <c r="U50" s="618">
        <f ca="1">SUM('[2]4.IGVA'!R313:R326)</f>
        <v>522454.01172841823</v>
      </c>
      <c r="V50" s="618">
        <f ca="1">SUM('[2]4.IGVA'!S313:S326)</f>
        <v>536426.13384990487</v>
      </c>
      <c r="W50" s="618">
        <f ca="1">SUM('[2]4.IGVA'!T313:T326)</f>
        <v>550891.40514015476</v>
      </c>
      <c r="X50" s="592">
        <f ca="1">SUM('[2]4.IGVA'!U313:U326)</f>
        <v>565658.39512487128</v>
      </c>
    </row>
    <row r="51" spans="2:26" s="54" customFormat="1" ht="15" customHeight="1" x14ac:dyDescent="0.25">
      <c r="B51" s="333" t="s">
        <v>362</v>
      </c>
      <c r="C51" s="292" t="s">
        <v>36</v>
      </c>
      <c r="N51" s="204"/>
      <c r="O51" s="150">
        <f ca="1">O52-O50-O49</f>
        <v>32761.909999983778</v>
      </c>
      <c r="P51" s="53">
        <f ca="1">P52-P50-P49</f>
        <v>32824.153256587335</v>
      </c>
      <c r="Q51" s="53">
        <f ca="1">Q52-Q50-Q49</f>
        <v>32839.055248910612</v>
      </c>
      <c r="R51" s="53">
        <f t="shared" ref="R51:X51" ca="1" si="13">R52-R50-R49</f>
        <v>32814.721076502785</v>
      </c>
      <c r="S51" s="53">
        <f t="shared" ca="1" si="13"/>
        <v>32791.323651911924</v>
      </c>
      <c r="T51" s="53">
        <f t="shared" ca="1" si="13"/>
        <v>32847.560047079402</v>
      </c>
      <c r="U51" s="53">
        <f t="shared" ca="1" si="13"/>
        <v>32800.768359632086</v>
      </c>
      <c r="V51" s="53">
        <f t="shared" ca="1" si="13"/>
        <v>32657.129223244261</v>
      </c>
      <c r="W51" s="53">
        <f t="shared" ca="1" si="13"/>
        <v>32515.14773319901</v>
      </c>
      <c r="X51" s="150">
        <f t="shared" ca="1" si="13"/>
        <v>32394.115871582704</v>
      </c>
    </row>
    <row r="52" spans="2:26" s="54" customFormat="1" ht="15" customHeight="1" x14ac:dyDescent="0.25">
      <c r="B52" s="56" t="s">
        <v>364</v>
      </c>
      <c r="C52" s="292" t="s">
        <v>36</v>
      </c>
      <c r="N52" s="204"/>
      <c r="O52" s="592">
        <f ca="1">'[2]3.Macro'!P14</f>
        <v>483126.72604559996</v>
      </c>
      <c r="P52" s="618">
        <f ca="1">'[2]3.Macro'!Q14</f>
        <v>494345.26681308704</v>
      </c>
      <c r="Q52" s="618">
        <f ca="1">'[2]3.Macro'!R14</f>
        <v>505701.86062758404</v>
      </c>
      <c r="R52" s="618">
        <f ca="1">'[2]3.Macro'!S14</f>
        <v>517464.789326898</v>
      </c>
      <c r="S52" s="618">
        <f ca="1">'[2]3.Macro'!T14</f>
        <v>530140.86553864426</v>
      </c>
      <c r="T52" s="618">
        <f ca="1">'[2]3.Macro'!U14</f>
        <v>542927.28006048419</v>
      </c>
      <c r="U52" s="618">
        <f ca="1">'[2]3.Macro'!V14</f>
        <v>556029.79840291187</v>
      </c>
      <c r="V52" s="618">
        <f ca="1">'[2]3.Macro'!W14</f>
        <v>569865.82149445056</v>
      </c>
      <c r="W52" s="618">
        <f ca="1">'[2]3.Macro'!X14</f>
        <v>584196.69320022874</v>
      </c>
      <c r="X52" s="592">
        <f ca="1">'[2]3.Macro'!Y14</f>
        <v>598850.39095411671</v>
      </c>
    </row>
    <row r="53" spans="2:26" s="54" customFormat="1" ht="15" customHeight="1" x14ac:dyDescent="0.25">
      <c r="B53" s="333"/>
      <c r="C53" s="300"/>
      <c r="N53" s="204"/>
      <c r="O53" s="204"/>
      <c r="P53" s="295"/>
      <c r="Q53" s="295"/>
      <c r="R53" s="295"/>
      <c r="S53" s="295"/>
      <c r="T53" s="295"/>
      <c r="U53" s="295"/>
      <c r="V53" s="295"/>
      <c r="W53" s="295"/>
      <c r="X53" s="300"/>
    </row>
    <row r="54" spans="2:26" s="54" customFormat="1" ht="15" customHeight="1" x14ac:dyDescent="0.3">
      <c r="B54" s="444" t="s">
        <v>550</v>
      </c>
      <c r="C54" s="445"/>
      <c r="D54" s="444"/>
      <c r="E54" s="444"/>
      <c r="F54" s="444"/>
      <c r="G54" s="444"/>
      <c r="H54" s="444"/>
      <c r="I54" s="444"/>
      <c r="J54" s="444"/>
      <c r="K54" s="444"/>
      <c r="L54" s="444"/>
      <c r="M54" s="444"/>
      <c r="N54" s="445"/>
      <c r="O54" s="517" t="str">
        <f>O12</f>
        <v>2013-14</v>
      </c>
      <c r="P54" s="516" t="str">
        <f t="shared" ref="P54:X54" si="14">P12</f>
        <v>2014-15</v>
      </c>
      <c r="Q54" s="516" t="str">
        <f t="shared" si="14"/>
        <v>2015-16</v>
      </c>
      <c r="R54" s="516" t="str">
        <f t="shared" si="14"/>
        <v>2016-17</v>
      </c>
      <c r="S54" s="516" t="str">
        <f t="shared" si="14"/>
        <v>2017-18</v>
      </c>
      <c r="T54" s="516" t="str">
        <f t="shared" si="14"/>
        <v>2018-19</v>
      </c>
      <c r="U54" s="516" t="str">
        <f t="shared" si="14"/>
        <v>2019-20</v>
      </c>
      <c r="V54" s="516" t="str">
        <f t="shared" si="14"/>
        <v>2020-21</v>
      </c>
      <c r="W54" s="516" t="str">
        <f t="shared" si="14"/>
        <v>2021-22</v>
      </c>
      <c r="X54" s="517" t="str">
        <f t="shared" si="14"/>
        <v>2022-23</v>
      </c>
    </row>
    <row r="55" spans="2:26" s="54" customFormat="1" ht="15" customHeight="1" x14ac:dyDescent="0.25">
      <c r="B55" s="56" t="s">
        <v>348</v>
      </c>
      <c r="C55" s="292" t="s">
        <v>36</v>
      </c>
      <c r="N55" s="204"/>
      <c r="O55" s="150"/>
      <c r="P55" s="53">
        <f ca="1">'[2]6.TaxRev'!$L$985+P28</f>
        <v>27065.645000000004</v>
      </c>
      <c r="Q55" s="53">
        <f ca="1">'[2]6.TaxRev'!$L$985+Q28</f>
        <v>27955.065000000002</v>
      </c>
      <c r="R55" s="53">
        <f ca="1">'[2]6.TaxRev'!$L$985+R28</f>
        <v>28844.485000000001</v>
      </c>
      <c r="S55" s="53">
        <f ca="1">'[2]6.TaxRev'!$L$985+S28</f>
        <v>29733.905000000002</v>
      </c>
      <c r="T55" s="53">
        <f ca="1">'[2]6.TaxRev'!$L$985+T28</f>
        <v>30623.325000000004</v>
      </c>
      <c r="U55" s="53">
        <f ca="1">'[2]6.TaxRev'!$L$985+U28</f>
        <v>31512.745000000003</v>
      </c>
      <c r="V55" s="53">
        <f ca="1">'[2]6.TaxRev'!$L$985+V28</f>
        <v>32402.165000000001</v>
      </c>
      <c r="W55" s="53">
        <f ca="1">'[2]6.TaxRev'!$L$985+W28</f>
        <v>33291.584999999999</v>
      </c>
      <c r="X55" s="150">
        <f ca="1">'[2]6.TaxRev'!$L$985+X28</f>
        <v>34181.004999999997</v>
      </c>
    </row>
    <row r="56" spans="2:26" s="54" customFormat="1" ht="15" customHeight="1" x14ac:dyDescent="0.25">
      <c r="B56" s="56" t="s">
        <v>421</v>
      </c>
      <c r="C56" s="292" t="s">
        <v>36</v>
      </c>
      <c r="N56" s="204"/>
      <c r="O56" s="204"/>
      <c r="P56" s="295"/>
      <c r="Q56" s="295"/>
      <c r="R56" s="295"/>
      <c r="S56" s="295"/>
      <c r="T56" s="295"/>
      <c r="U56" s="295"/>
      <c r="V56" s="295"/>
      <c r="W56" s="295"/>
      <c r="X56" s="300"/>
    </row>
    <row r="57" spans="2:26" s="54" customFormat="1" ht="15" customHeight="1" x14ac:dyDescent="0.25">
      <c r="B57" s="333" t="s">
        <v>334</v>
      </c>
      <c r="C57" s="292" t="s">
        <v>36</v>
      </c>
      <c r="N57" s="204"/>
      <c r="O57" s="204"/>
      <c r="P57" s="53">
        <f>P15</f>
        <v>0</v>
      </c>
      <c r="Q57" s="53">
        <f t="shared" ref="Q57:X57" si="15">Q15</f>
        <v>0</v>
      </c>
      <c r="R57" s="53">
        <f t="shared" si="15"/>
        <v>0</v>
      </c>
      <c r="S57" s="53">
        <f t="shared" si="15"/>
        <v>0</v>
      </c>
      <c r="T57" s="53">
        <f t="shared" si="15"/>
        <v>0</v>
      </c>
      <c r="U57" s="53">
        <f t="shared" si="15"/>
        <v>0</v>
      </c>
      <c r="V57" s="53">
        <f t="shared" si="15"/>
        <v>0</v>
      </c>
      <c r="W57" s="53">
        <f t="shared" si="15"/>
        <v>0</v>
      </c>
      <c r="X57" s="150">
        <f t="shared" si="15"/>
        <v>0</v>
      </c>
    </row>
    <row r="58" spans="2:26" s="54" customFormat="1" ht="15" customHeight="1" x14ac:dyDescent="0.25">
      <c r="B58" s="333" t="s">
        <v>331</v>
      </c>
      <c r="C58" s="292" t="s">
        <v>36</v>
      </c>
      <c r="N58" s="204"/>
      <c r="O58" s="204"/>
      <c r="P58" s="40">
        <f>P18</f>
        <v>15.888720431768489</v>
      </c>
      <c r="Q58" s="40">
        <f t="shared" ref="Q58:T58" si="16">Q18</f>
        <v>31.512869275513719</v>
      </c>
      <c r="R58" s="40">
        <f t="shared" si="16"/>
        <v>47.370141600117257</v>
      </c>
      <c r="S58" s="40">
        <f t="shared" si="16"/>
        <v>63.415024294954101</v>
      </c>
      <c r="T58" s="40">
        <f t="shared" si="16"/>
        <v>79.727165303617994</v>
      </c>
      <c r="U58" s="40">
        <v>0</v>
      </c>
      <c r="V58" s="40">
        <v>0</v>
      </c>
      <c r="W58" s="40">
        <v>0</v>
      </c>
      <c r="X58" s="25">
        <v>0</v>
      </c>
    </row>
    <row r="59" spans="2:26" s="54" customFormat="1" ht="15" customHeight="1" x14ac:dyDescent="0.25">
      <c r="B59" s="333" t="s">
        <v>335</v>
      </c>
      <c r="C59" s="292" t="s">
        <v>36</v>
      </c>
      <c r="N59" s="204"/>
      <c r="O59" s="204"/>
      <c r="P59" s="53">
        <f>P21</f>
        <v>0</v>
      </c>
      <c r="Q59" s="53">
        <f t="shared" ref="Q59:T59" si="17">Q21</f>
        <v>0</v>
      </c>
      <c r="R59" s="53">
        <f t="shared" si="17"/>
        <v>0</v>
      </c>
      <c r="S59" s="53">
        <f t="shared" si="17"/>
        <v>0</v>
      </c>
      <c r="T59" s="53">
        <f t="shared" si="17"/>
        <v>0</v>
      </c>
      <c r="U59" s="53">
        <f>U21</f>
        <v>16.831527077330378</v>
      </c>
      <c r="V59" s="53">
        <f t="shared" ref="V59:X59" si="18">V21</f>
        <v>34.374483311408383</v>
      </c>
      <c r="W59" s="53">
        <f t="shared" si="18"/>
        <v>52.630559579528267</v>
      </c>
      <c r="X59" s="150">
        <f t="shared" si="18"/>
        <v>71.60945187763383</v>
      </c>
    </row>
    <row r="60" spans="2:26" s="54" customFormat="1" ht="15" customHeight="1" x14ac:dyDescent="0.25">
      <c r="B60" s="333" t="s">
        <v>345</v>
      </c>
      <c r="C60" s="292" t="s">
        <v>36</v>
      </c>
      <c r="N60" s="204"/>
      <c r="O60" s="204"/>
      <c r="P60" s="468">
        <f>SUM(P57:P59)</f>
        <v>15.888720431768489</v>
      </c>
      <c r="Q60" s="53">
        <f t="shared" ref="Q60:S60" si="19">SUM(Q57:Q59)</f>
        <v>31.512869275513719</v>
      </c>
      <c r="R60" s="53">
        <f t="shared" si="19"/>
        <v>47.370141600117257</v>
      </c>
      <c r="S60" s="53">
        <f t="shared" si="19"/>
        <v>63.415024294954101</v>
      </c>
      <c r="T60" s="53">
        <f>SUM(T57:T59)</f>
        <v>79.727165303617994</v>
      </c>
      <c r="U60" s="53">
        <f>T60+U59</f>
        <v>96.558692380948372</v>
      </c>
      <c r="V60" s="53">
        <f t="shared" ref="V60:X60" si="20">U60+V59</f>
        <v>130.93317569235677</v>
      </c>
      <c r="W60" s="53">
        <f t="shared" si="20"/>
        <v>183.56373527188504</v>
      </c>
      <c r="X60" s="150">
        <f t="shared" si="20"/>
        <v>255.17318714951887</v>
      </c>
    </row>
    <row r="61" spans="2:26" s="54" customFormat="1" ht="15" customHeight="1" x14ac:dyDescent="0.25">
      <c r="B61" s="56" t="s">
        <v>336</v>
      </c>
      <c r="C61" s="292" t="s">
        <v>36</v>
      </c>
      <c r="N61" s="204"/>
      <c r="O61" s="204"/>
      <c r="P61" s="295"/>
      <c r="Q61" s="295"/>
      <c r="R61" s="295"/>
      <c r="S61" s="295"/>
      <c r="T61" s="295"/>
      <c r="U61" s="295"/>
      <c r="V61" s="295"/>
      <c r="W61" s="295"/>
      <c r="X61" s="300"/>
    </row>
    <row r="62" spans="2:26" s="54" customFormat="1" ht="15" customHeight="1" x14ac:dyDescent="0.25">
      <c r="B62" s="333" t="s">
        <v>337</v>
      </c>
      <c r="C62" s="292" t="s">
        <v>36</v>
      </c>
      <c r="N62" s="204"/>
      <c r="O62" s="204"/>
      <c r="P62" s="53">
        <f>P73/$Z62</f>
        <v>3924.2196408910895</v>
      </c>
      <c r="Q62" s="53">
        <f t="shared" ref="Q62:X62" si="21">Q73/$Z62</f>
        <v>3949.6858145204706</v>
      </c>
      <c r="R62" s="53">
        <f t="shared" si="21"/>
        <v>3986.7800784463852</v>
      </c>
      <c r="S62" s="53">
        <f t="shared" si="21"/>
        <v>4024.3857282734944</v>
      </c>
      <c r="T62" s="53">
        <f t="shared" si="21"/>
        <v>4062.483293259264</v>
      </c>
      <c r="U62" s="53">
        <f t="shared" si="21"/>
        <v>4101.028047894165</v>
      </c>
      <c r="V62" s="53">
        <f t="shared" si="21"/>
        <v>4139.9074499886028</v>
      </c>
      <c r="W62" s="53">
        <f t="shared" si="21"/>
        <v>4179.1127331865091</v>
      </c>
      <c r="X62" s="150">
        <f t="shared" si="21"/>
        <v>4218.6130717509468</v>
      </c>
      <c r="Z62" s="535">
        <v>0.15608419343215915</v>
      </c>
    </row>
    <row r="63" spans="2:26" s="54" customFormat="1" ht="15" customHeight="1" x14ac:dyDescent="0.25">
      <c r="B63" s="333" t="s">
        <v>338</v>
      </c>
      <c r="C63" s="292" t="s">
        <v>36</v>
      </c>
      <c r="N63" s="204"/>
      <c r="O63" s="204"/>
      <c r="P63" s="53">
        <f>P74/$Z63</f>
        <v>1087.6808148491393</v>
      </c>
      <c r="Q63" s="53">
        <f t="shared" ref="Q63:X64" si="22">Q74/$Z63</f>
        <v>1071.451453322469</v>
      </c>
      <c r="R63" s="53">
        <f t="shared" si="22"/>
        <v>1087.4631495129311</v>
      </c>
      <c r="S63" s="53">
        <f t="shared" si="22"/>
        <v>1098.8735365449538</v>
      </c>
      <c r="T63" s="53">
        <f t="shared" si="22"/>
        <v>1118.286740601239</v>
      </c>
      <c r="U63" s="53">
        <f t="shared" si="22"/>
        <v>1123.186738984542</v>
      </c>
      <c r="V63" s="53">
        <f t="shared" si="22"/>
        <v>1138.6543465040884</v>
      </c>
      <c r="W63" s="53">
        <f t="shared" si="22"/>
        <v>1154.0056716812032</v>
      </c>
      <c r="X63" s="150">
        <f t="shared" si="22"/>
        <v>1170.3282943876163</v>
      </c>
      <c r="Z63" s="535">
        <v>0.11236592814369896</v>
      </c>
    </row>
    <row r="64" spans="2:26" s="54" customFormat="1" ht="15" customHeight="1" x14ac:dyDescent="0.25">
      <c r="B64" s="333" t="s">
        <v>339</v>
      </c>
      <c r="C64" s="292" t="s">
        <v>36</v>
      </c>
      <c r="N64" s="204"/>
      <c r="O64" s="204"/>
      <c r="P64" s="53">
        <f>P75/$Z64</f>
        <v>671.42790771177886</v>
      </c>
      <c r="Q64" s="53">
        <f t="shared" si="22"/>
        <v>663.67485172288116</v>
      </c>
      <c r="R64" s="53">
        <f t="shared" si="22"/>
        <v>656.0022710045364</v>
      </c>
      <c r="S64" s="53">
        <f t="shared" si="22"/>
        <v>648.25956364677688</v>
      </c>
      <c r="T64" s="53">
        <f t="shared" si="22"/>
        <v>640.62306139143175</v>
      </c>
      <c r="U64" s="53">
        <f t="shared" si="22"/>
        <v>646.02422395336964</v>
      </c>
      <c r="V64" s="53">
        <f t="shared" si="22"/>
        <v>638.78743431652265</v>
      </c>
      <c r="W64" s="53">
        <f t="shared" si="22"/>
        <v>631.52178024903196</v>
      </c>
      <c r="X64" s="150">
        <f t="shared" si="22"/>
        <v>624.23786421481816</v>
      </c>
      <c r="Z64" s="535">
        <v>1.9799048340239319E-2</v>
      </c>
    </row>
    <row r="65" spans="2:24" s="54" customFormat="1" ht="15" customHeight="1" x14ac:dyDescent="0.25">
      <c r="B65" s="333" t="s">
        <v>346</v>
      </c>
      <c r="C65" s="292" t="s">
        <v>36</v>
      </c>
      <c r="N65" s="204"/>
      <c r="O65" s="204"/>
      <c r="P65" s="53">
        <f>SUM(P62:P64)</f>
        <v>5683.3283634520076</v>
      </c>
      <c r="Q65" s="53">
        <f t="shared" ref="Q65:W65" si="23">SUM(Q62:Q64)</f>
        <v>5684.8121195658205</v>
      </c>
      <c r="R65" s="53">
        <f t="shared" si="23"/>
        <v>5730.2454989638518</v>
      </c>
      <c r="S65" s="53">
        <f t="shared" si="23"/>
        <v>5771.5188284652249</v>
      </c>
      <c r="T65" s="53">
        <f t="shared" si="23"/>
        <v>5821.3930952519349</v>
      </c>
      <c r="U65" s="53">
        <f t="shared" si="23"/>
        <v>5870.2390108320769</v>
      </c>
      <c r="V65" s="53">
        <f t="shared" si="23"/>
        <v>5917.3492308092136</v>
      </c>
      <c r="W65" s="53">
        <f t="shared" si="23"/>
        <v>5964.6401851167448</v>
      </c>
      <c r="X65" s="150">
        <f>SUM(X62:X64)</f>
        <v>6013.1792303533812</v>
      </c>
    </row>
    <row r="66" spans="2:24" s="54" customFormat="1" ht="15" customHeight="1" x14ac:dyDescent="0.25">
      <c r="B66" s="56" t="s">
        <v>343</v>
      </c>
      <c r="C66" s="292"/>
      <c r="N66" s="204"/>
      <c r="O66" s="204"/>
      <c r="P66" s="295"/>
      <c r="Q66" s="295"/>
      <c r="R66" s="295"/>
      <c r="S66" s="295"/>
      <c r="T66" s="295"/>
      <c r="U66" s="295"/>
      <c r="V66" s="295"/>
      <c r="W66" s="295"/>
      <c r="X66" s="300"/>
    </row>
    <row r="67" spans="2:24" s="54" customFormat="1" ht="15" customHeight="1" x14ac:dyDescent="0.25">
      <c r="B67" s="333" t="s">
        <v>340</v>
      </c>
      <c r="C67" s="292" t="s">
        <v>252</v>
      </c>
      <c r="N67" s="204"/>
      <c r="O67" s="204"/>
      <c r="P67" s="618">
        <f>'[2]5.Employ'!M328*1000</f>
        <v>5117.0433668674696</v>
      </c>
      <c r="Q67" s="618">
        <f>'[2]5.Employ'!N328*1000</f>
        <v>5149.8169388347796</v>
      </c>
      <c r="R67" s="618">
        <f>'[2]5.Employ'!O328*1000</f>
        <v>5197.8771324203681</v>
      </c>
      <c r="S67" s="618">
        <f>'[2]5.Employ'!P328*1000</f>
        <v>5246.5585097523544</v>
      </c>
      <c r="T67" s="618">
        <f>'[2]5.Employ'!Q328*1000</f>
        <v>5296.1844111672272</v>
      </c>
      <c r="U67" s="618">
        <f>'[2]5.Employ'!R328*1000</f>
        <v>5347.2740032553211</v>
      </c>
      <c r="V67" s="618">
        <f>'[2]5.Employ'!S328*1000</f>
        <v>5397.6689995861116</v>
      </c>
      <c r="W67" s="618">
        <f>'[2]5.Employ'!T328*1000</f>
        <v>5448.5280826957887</v>
      </c>
      <c r="X67" s="592">
        <f>'[2]5.Employ'!U328*1000</f>
        <v>5499.8093548881479</v>
      </c>
    </row>
    <row r="68" spans="2:24" s="54" customFormat="1" ht="15" customHeight="1" x14ac:dyDescent="0.25">
      <c r="B68" s="333" t="s">
        <v>341</v>
      </c>
      <c r="C68" s="292" t="s">
        <v>252</v>
      </c>
      <c r="N68" s="204"/>
      <c r="O68" s="204"/>
      <c r="P68" s="618">
        <f>'[2]5.Employ'!M329*1000</f>
        <v>1127.206893981647</v>
      </c>
      <c r="Q68" s="618">
        <f>'[2]5.Employ'!N329*1000</f>
        <v>1109.0315103827236</v>
      </c>
      <c r="R68" s="618">
        <f>'[2]5.Employ'!O329*1000</f>
        <v>1122.4222887150831</v>
      </c>
      <c r="S68" s="618">
        <f>'[2]5.Employ'!P329*1000</f>
        <v>1131.1306626421542</v>
      </c>
      <c r="T68" s="618">
        <f>'[2]5.Employ'!Q329*1000</f>
        <v>1149.9225809095506</v>
      </c>
      <c r="U68" s="618">
        <f>'[2]5.Employ'!R329*1000</f>
        <v>1130.0073710698609</v>
      </c>
      <c r="V68" s="618">
        <f>'[2]5.Employ'!S329*1000</f>
        <v>1143.4371245981729</v>
      </c>
      <c r="W68" s="618">
        <f>'[2]5.Employ'!T329*1000</f>
        <v>1156.9992626010728</v>
      </c>
      <c r="X68" s="592">
        <f>'[2]5.Employ'!U329*1000</f>
        <v>1171.7013611095854</v>
      </c>
    </row>
    <row r="69" spans="2:24" s="54" customFormat="1" ht="15" customHeight="1" x14ac:dyDescent="0.25">
      <c r="B69" s="333" t="s">
        <v>342</v>
      </c>
      <c r="C69" s="292" t="s">
        <v>252</v>
      </c>
      <c r="N69" s="204"/>
      <c r="O69" s="204"/>
      <c r="P69" s="618">
        <f>'[2]5.Employ'!M330*1000</f>
        <v>119.11796333162836</v>
      </c>
      <c r="Q69" s="618">
        <f>'[2]5.Employ'!N330*1000</f>
        <v>117.63999160452403</v>
      </c>
      <c r="R69" s="618">
        <f>'[2]5.Employ'!O330*1000</f>
        <v>116.2562501377901</v>
      </c>
      <c r="S69" s="618">
        <f>'[2]5.Employ'!P330*1000</f>
        <v>114.83894904033382</v>
      </c>
      <c r="T69" s="618">
        <f>'[2]5.Employ'!Q330*1000</f>
        <v>113.59151474552813</v>
      </c>
      <c r="U69" s="618">
        <f>'[2]5.Employ'!R330*1000</f>
        <v>121.45909796593904</v>
      </c>
      <c r="V69" s="618">
        <f>'[2]5.Employ'!S330*1000</f>
        <v>120.06587018463463</v>
      </c>
      <c r="W69" s="618">
        <f>'[2]5.Employ'!T330*1000</f>
        <v>118.70809154324526</v>
      </c>
      <c r="X69" s="592">
        <f>'[2]5.Employ'!U330*1000</f>
        <v>117.38570886702065</v>
      </c>
    </row>
    <row r="70" spans="2:24" s="54" customFormat="1" ht="15" customHeight="1" x14ac:dyDescent="0.25">
      <c r="B70" s="333" t="s">
        <v>345</v>
      </c>
      <c r="C70" s="292" t="s">
        <v>252</v>
      </c>
      <c r="N70" s="204"/>
      <c r="O70" s="204"/>
      <c r="P70" s="53">
        <f>SUM(P67:P69)</f>
        <v>6363.3682241807455</v>
      </c>
      <c r="Q70" s="53">
        <f t="shared" ref="Q70:X70" si="24">SUM(Q67:Q69)</f>
        <v>6376.4884408220269</v>
      </c>
      <c r="R70" s="53">
        <f t="shared" si="24"/>
        <v>6436.5556712732405</v>
      </c>
      <c r="S70" s="53">
        <f t="shared" si="24"/>
        <v>6492.5281214348424</v>
      </c>
      <c r="T70" s="53">
        <f t="shared" si="24"/>
        <v>6559.6985068223057</v>
      </c>
      <c r="U70" s="53">
        <f t="shared" si="24"/>
        <v>6598.7404722911206</v>
      </c>
      <c r="V70" s="53">
        <f t="shared" si="24"/>
        <v>6661.1719943689195</v>
      </c>
      <c r="W70" s="53">
        <f t="shared" si="24"/>
        <v>6724.2354368401066</v>
      </c>
      <c r="X70" s="150">
        <f t="shared" si="24"/>
        <v>6788.8964248647544</v>
      </c>
    </row>
    <row r="71" spans="2:24" s="54" customFormat="1" ht="15" customHeight="1" x14ac:dyDescent="0.25">
      <c r="B71" s="333" t="s">
        <v>344</v>
      </c>
      <c r="C71" s="292" t="s">
        <v>252</v>
      </c>
      <c r="N71" s="204"/>
      <c r="O71" s="204"/>
      <c r="P71" s="618">
        <f ca="1">SUM('[2]5.Employ'!M314:M326)*1000</f>
        <v>3874966.5063838623</v>
      </c>
      <c r="Q71" s="618">
        <f ca="1">SUM('[2]5.Employ'!N314:N326)*1000</f>
        <v>3917167.7045813887</v>
      </c>
      <c r="R71" s="618">
        <f ca="1">SUM('[2]5.Employ'!O314:O326)*1000</f>
        <v>3956438.5434150407</v>
      </c>
      <c r="S71" s="618">
        <f ca="1">SUM('[2]5.Employ'!P314:P326)*1000</f>
        <v>3994368.1643912382</v>
      </c>
      <c r="T71" s="618">
        <f ca="1">SUM('[2]5.Employ'!Q314:Q326)*1000</f>
        <v>4030832.4307197323</v>
      </c>
      <c r="U71" s="618">
        <f ca="1">SUM('[2]5.Employ'!R314:R326)*1000</f>
        <v>4065681.2757790526</v>
      </c>
      <c r="V71" s="618">
        <f ca="1">SUM('[2]5.Employ'!S314:S326)*1000</f>
        <v>4102606.8241856173</v>
      </c>
      <c r="W71" s="618">
        <f ca="1">SUM('[2]5.Employ'!T314:T326)*1000</f>
        <v>4139730.8254292356</v>
      </c>
      <c r="X71" s="592">
        <f ca="1">SUM('[2]5.Employ'!U314:U326)*1000</f>
        <v>4177104.2004704084</v>
      </c>
    </row>
    <row r="72" spans="2:24" s="54" customFormat="1" ht="15" customHeight="1" x14ac:dyDescent="0.25">
      <c r="B72" s="56" t="s">
        <v>325</v>
      </c>
      <c r="C72" s="292"/>
      <c r="N72" s="204"/>
      <c r="O72" s="204"/>
      <c r="P72" s="295"/>
      <c r="Q72" s="295"/>
      <c r="R72" s="295"/>
      <c r="S72" s="295"/>
      <c r="T72" s="295"/>
      <c r="U72" s="295"/>
      <c r="V72" s="295"/>
      <c r="W72" s="295"/>
      <c r="X72" s="300"/>
    </row>
    <row r="73" spans="2:24" s="54" customFormat="1" ht="15" customHeight="1" x14ac:dyDescent="0.25">
      <c r="B73" s="333" t="s">
        <v>340</v>
      </c>
      <c r="C73" s="292" t="s">
        <v>36</v>
      </c>
      <c r="N73" s="204"/>
      <c r="O73" s="204"/>
      <c r="P73" s="243">
        <f>'[2]4.IGVA'!M391</f>
        <v>612.50865749912293</v>
      </c>
      <c r="Q73" s="243">
        <f>'[2]4.IGVA'!N391</f>
        <v>616.48352466986819</v>
      </c>
      <c r="R73" s="243">
        <f>'[2]4.IGVA'!O391</f>
        <v>622.27335293570422</v>
      </c>
      <c r="S73" s="243">
        <f>'[2]4.IGVA'!P391</f>
        <v>628.14300045746074</v>
      </c>
      <c r="T73" s="243">
        <f>'[2]4.IGVA'!Q391</f>
        <v>634.08942815999387</v>
      </c>
      <c r="U73" s="243">
        <f>'[2]4.IGVA'!R391</f>
        <v>640.10565509822288</v>
      </c>
      <c r="V73" s="243">
        <f>'[2]4.IGVA'!S391</f>
        <v>646.17411521525787</v>
      </c>
      <c r="W73" s="243">
        <f>'[2]4.IGVA'!T391</f>
        <v>652.29344022148246</v>
      </c>
      <c r="X73" s="252">
        <f>'[2]4.IGVA'!U391</f>
        <v>658.45881870660992</v>
      </c>
    </row>
    <row r="74" spans="2:24" s="54" customFormat="1" ht="15" customHeight="1" x14ac:dyDescent="0.25">
      <c r="B74" s="333" t="s">
        <v>341</v>
      </c>
      <c r="C74" s="292" t="s">
        <v>36</v>
      </c>
      <c r="N74" s="204"/>
      <c r="O74" s="204"/>
      <c r="P74" s="243">
        <f>'[2]4.IGVA'!M392</f>
        <v>122.21826428461833</v>
      </c>
      <c r="Q74" s="243">
        <f>'[2]4.IGVA'!N392</f>
        <v>120.39463701349436</v>
      </c>
      <c r="R74" s="243">
        <f>'[2]4.IGVA'!O392</f>
        <v>122.19380611709056</v>
      </c>
      <c r="S74" s="243">
        <f>'[2]4.IGVA'!P392</f>
        <v>123.47594484642264</v>
      </c>
      <c r="T74" s="243">
        <f>'[2]4.IGVA'!Q392</f>
        <v>125.65732753845013</v>
      </c>
      <c r="U74" s="243">
        <f>'[2]4.IGVA'!R392</f>
        <v>126.2079204046926</v>
      </c>
      <c r="V74" s="243">
        <f>'[2]4.IGVA'!S392</f>
        <v>127.94595247978889</v>
      </c>
      <c r="W74" s="243">
        <f>'[2]4.IGVA'!T392</f>
        <v>129.67091838155113</v>
      </c>
      <c r="X74" s="252">
        <f>'[2]4.IGVA'!U392</f>
        <v>131.50502503169665</v>
      </c>
    </row>
    <row r="75" spans="2:24" s="54" customFormat="1" ht="15" customHeight="1" x14ac:dyDescent="0.25">
      <c r="B75" s="333" t="s">
        <v>342</v>
      </c>
      <c r="C75" s="292" t="s">
        <v>36</v>
      </c>
      <c r="N75" s="204"/>
      <c r="O75" s="204"/>
      <c r="P75" s="243">
        <f>'[2]4.IGVA'!M393</f>
        <v>13.293633601771253</v>
      </c>
      <c r="Q75" s="243">
        <f>'[2]4.IGVA'!N393</f>
        <v>13.140130471462486</v>
      </c>
      <c r="R75" s="243">
        <f>'[2]4.IGVA'!O393</f>
        <v>12.988220674925589</v>
      </c>
      <c r="S75" s="243">
        <f>'[2]4.IGVA'!P393</f>
        <v>12.834922437664982</v>
      </c>
      <c r="T75" s="243">
        <f>'[2]4.IGVA'!Q393</f>
        <v>12.683726960361058</v>
      </c>
      <c r="U75" s="243">
        <f>'[2]4.IGVA'!R393</f>
        <v>12.790664839018357</v>
      </c>
      <c r="V75" s="243">
        <f>'[2]4.IGVA'!S393</f>
        <v>12.64738329117028</v>
      </c>
      <c r="W75" s="243">
        <f>'[2]4.IGVA'!T393</f>
        <v>12.503530255064575</v>
      </c>
      <c r="X75" s="252">
        <f>'[2]4.IGVA'!U393</f>
        <v>12.359315649396933</v>
      </c>
    </row>
    <row r="76" spans="2:24" s="54" customFormat="1" ht="15" customHeight="1" x14ac:dyDescent="0.25">
      <c r="B76" s="333" t="s">
        <v>345</v>
      </c>
      <c r="C76" s="292" t="s">
        <v>36</v>
      </c>
      <c r="N76" s="204"/>
      <c r="O76" s="204"/>
      <c r="P76" s="53">
        <f>SUM(P73:P75)</f>
        <v>748.02055538551258</v>
      </c>
      <c r="Q76" s="53">
        <f t="shared" ref="Q76:X76" si="25">SUM(Q73:Q75)</f>
        <v>750.01829215482508</v>
      </c>
      <c r="R76" s="53">
        <f t="shared" si="25"/>
        <v>757.45537972772047</v>
      </c>
      <c r="S76" s="53">
        <f t="shared" si="25"/>
        <v>764.45386774154838</v>
      </c>
      <c r="T76" s="53">
        <f t="shared" si="25"/>
        <v>772.43048265880498</v>
      </c>
      <c r="U76" s="53">
        <f t="shared" si="25"/>
        <v>779.10424034193386</v>
      </c>
      <c r="V76" s="53">
        <f t="shared" si="25"/>
        <v>786.767450986217</v>
      </c>
      <c r="W76" s="53">
        <f t="shared" si="25"/>
        <v>794.46788885809815</v>
      </c>
      <c r="X76" s="150">
        <f t="shared" si="25"/>
        <v>802.32315938770353</v>
      </c>
    </row>
    <row r="77" spans="2:24" s="54" customFormat="1" ht="15" customHeight="1" x14ac:dyDescent="0.25">
      <c r="B77" s="333" t="s">
        <v>344</v>
      </c>
      <c r="C77" s="292" t="s">
        <v>36</v>
      </c>
      <c r="N77" s="204"/>
      <c r="O77" s="204"/>
      <c r="P77" s="618">
        <f ca="1">SUM('[2]4.IGVA'!M377:M390)</f>
        <v>460790.37009662553</v>
      </c>
      <c r="Q77" s="618">
        <f ca="1">SUM('[2]4.IGVA'!N377:N390)</f>
        <v>472122.53319541557</v>
      </c>
      <c r="R77" s="618">
        <f ca="1">SUM('[2]4.IGVA'!O377:O390)</f>
        <v>483897.63644529425</v>
      </c>
      <c r="S77" s="618">
        <f ca="1">SUM('[2]4.IGVA'!P377:P390)</f>
        <v>496586.92720929143</v>
      </c>
      <c r="T77" s="618">
        <f ca="1">SUM('[2]4.IGVA'!Q377:Q390)</f>
        <v>509306.86071649496</v>
      </c>
      <c r="U77" s="618">
        <f ca="1">SUM('[2]4.IGVA'!R377:R390)</f>
        <v>522436.34813006263</v>
      </c>
      <c r="V77" s="618">
        <f ca="1">SUM('[2]4.IGVA'!S377:S390)</f>
        <v>536407.76364777004</v>
      </c>
      <c r="W77" s="618">
        <f ca="1">SUM('[2]4.IGVA'!T377:T390)</f>
        <v>550872.147404043</v>
      </c>
      <c r="X77" s="592">
        <f ca="1">SUM('[2]4.IGVA'!U377:U390)</f>
        <v>565638.13356589433</v>
      </c>
    </row>
    <row r="78" spans="2:24" s="54" customFormat="1" ht="15" customHeight="1" x14ac:dyDescent="0.25">
      <c r="B78" s="333" t="s">
        <v>362</v>
      </c>
      <c r="C78" s="292" t="s">
        <v>36</v>
      </c>
      <c r="N78" s="204"/>
      <c r="O78" s="204"/>
      <c r="P78" s="53">
        <f ca="1">P79-P77-P76</f>
        <v>32828.713489093228</v>
      </c>
      <c r="Q78" s="53">
        <f t="shared" ref="Q78:X78" ca="1" si="26">Q79-Q77-Q76</f>
        <v>32842.749529092922</v>
      </c>
      <c r="R78" s="53">
        <f t="shared" ca="1" si="26"/>
        <v>32817.735939568069</v>
      </c>
      <c r="S78" s="53">
        <f t="shared" ca="1" si="26"/>
        <v>32793.994008532398</v>
      </c>
      <c r="T78" s="53">
        <f t="shared" ca="1" si="26"/>
        <v>32849.850417612455</v>
      </c>
      <c r="U78" s="53">
        <f t="shared" ca="1" si="26"/>
        <v>32812.18054535117</v>
      </c>
      <c r="V78" s="53">
        <f t="shared" ca="1" si="26"/>
        <v>32668.79300960559</v>
      </c>
      <c r="W78" s="53">
        <f t="shared" ca="1" si="26"/>
        <v>32527.346758475833</v>
      </c>
      <c r="X78" s="150">
        <f t="shared" ca="1" si="26"/>
        <v>32406.9008956258</v>
      </c>
    </row>
    <row r="79" spans="2:24" s="54" customFormat="1" ht="15" customHeight="1" x14ac:dyDescent="0.25">
      <c r="B79" s="416" t="s">
        <v>364</v>
      </c>
      <c r="C79" s="293" t="s">
        <v>36</v>
      </c>
      <c r="D79" s="242"/>
      <c r="E79" s="242"/>
      <c r="F79" s="242"/>
      <c r="G79" s="242"/>
      <c r="H79" s="242"/>
      <c r="I79" s="242"/>
      <c r="J79" s="242"/>
      <c r="K79" s="242"/>
      <c r="L79" s="242"/>
      <c r="M79" s="242"/>
      <c r="N79" s="425"/>
      <c r="O79" s="425"/>
      <c r="P79" s="615">
        <f ca="1">'[2]3.Macro'!Q19</f>
        <v>494367.10414110427</v>
      </c>
      <c r="Q79" s="615">
        <f ca="1">'[2]3.Macro'!R19</f>
        <v>505715.30101666332</v>
      </c>
      <c r="R79" s="615">
        <f ca="1">'[2]3.Macro'!S19</f>
        <v>517472.82776459004</v>
      </c>
      <c r="S79" s="615">
        <f ca="1">'[2]3.Macro'!T19</f>
        <v>530145.37508556538</v>
      </c>
      <c r="T79" s="615">
        <f ca="1">'[2]3.Macro'!U19</f>
        <v>542929.14161676622</v>
      </c>
      <c r="U79" s="615">
        <f ca="1">'[2]3.Macro'!V19</f>
        <v>556027.63291575573</v>
      </c>
      <c r="V79" s="615">
        <f ca="1">'[2]3.Macro'!W19</f>
        <v>569863.32410836185</v>
      </c>
      <c r="W79" s="615">
        <f ca="1">'[2]3.Macro'!X19</f>
        <v>584193.96205137693</v>
      </c>
      <c r="X79" s="616">
        <f ca="1">'[2]3.Macro'!Y19</f>
        <v>598847.35762090783</v>
      </c>
    </row>
    <row r="80" spans="2:24" s="54" customFormat="1" ht="15" customHeight="1" x14ac:dyDescent="0.25">
      <c r="B80" s="333"/>
      <c r="C80" s="300"/>
      <c r="N80" s="204"/>
      <c r="O80" s="204"/>
      <c r="P80" s="295"/>
      <c r="Q80" s="295"/>
      <c r="R80" s="295"/>
      <c r="S80" s="295"/>
      <c r="T80" s="295"/>
      <c r="U80" s="295"/>
      <c r="V80" s="295"/>
      <c r="W80" s="295"/>
      <c r="X80" s="300"/>
    </row>
    <row r="81" spans="2:24" s="54" customFormat="1" ht="17.25" customHeight="1" x14ac:dyDescent="0.3">
      <c r="B81" s="335" t="s">
        <v>351</v>
      </c>
      <c r="C81" s="334"/>
      <c r="N81" s="204"/>
      <c r="O81" s="204"/>
      <c r="P81" s="295"/>
      <c r="Q81" s="295"/>
      <c r="R81" s="295"/>
      <c r="S81" s="295"/>
      <c r="T81" s="295"/>
      <c r="U81" s="295"/>
      <c r="V81" s="295"/>
      <c r="W81" s="295"/>
      <c r="X81" s="300"/>
    </row>
    <row r="82" spans="2:24" s="54" customFormat="1" ht="15" customHeight="1" x14ac:dyDescent="0.25">
      <c r="B82" s="56" t="s">
        <v>348</v>
      </c>
      <c r="C82" s="292" t="s">
        <v>36</v>
      </c>
      <c r="N82" s="204"/>
      <c r="O82" s="204"/>
      <c r="P82" s="53">
        <f ca="1">P55-P28</f>
        <v>-15.394999999996799</v>
      </c>
      <c r="Q82" s="53">
        <f t="shared" ref="Q82:X82" ca="1" si="27">Q55-Q28</f>
        <v>-15.394999999996799</v>
      </c>
      <c r="R82" s="53">
        <f t="shared" ca="1" si="27"/>
        <v>-15.394999999996799</v>
      </c>
      <c r="S82" s="53">
        <f t="shared" ca="1" si="27"/>
        <v>-15.394999999996799</v>
      </c>
      <c r="T82" s="53">
        <f t="shared" ca="1" si="27"/>
        <v>-15.394999999996799</v>
      </c>
      <c r="U82" s="53">
        <f ca="1">U55-U28</f>
        <v>-15.394999999996799</v>
      </c>
      <c r="V82" s="53">
        <f t="shared" ca="1" si="27"/>
        <v>-15.394999999996799</v>
      </c>
      <c r="W82" s="53">
        <f t="shared" ca="1" si="27"/>
        <v>-15.394999999996799</v>
      </c>
      <c r="X82" s="150">
        <f t="shared" ca="1" si="27"/>
        <v>-15.394999999996799</v>
      </c>
    </row>
    <row r="83" spans="2:24" s="54" customFormat="1" ht="15" customHeight="1" x14ac:dyDescent="0.25">
      <c r="B83" s="619" t="s">
        <v>549</v>
      </c>
      <c r="C83" s="292"/>
      <c r="N83" s="204"/>
      <c r="O83" s="204"/>
      <c r="P83" s="53">
        <f ca="1">P82</f>
        <v>-15.394999999996799</v>
      </c>
      <c r="Q83" s="53">
        <f ca="1">Q82-P82</f>
        <v>0</v>
      </c>
      <c r="R83" s="53">
        <f t="shared" ref="R83:X83" ca="1" si="28">R82-Q82</f>
        <v>0</v>
      </c>
      <c r="S83" s="53">
        <f t="shared" ca="1" si="28"/>
        <v>0</v>
      </c>
      <c r="T83" s="53">
        <f t="shared" ca="1" si="28"/>
        <v>0</v>
      </c>
      <c r="U83" s="53">
        <f t="shared" ca="1" si="28"/>
        <v>0</v>
      </c>
      <c r="V83" s="53">
        <f t="shared" ca="1" si="28"/>
        <v>0</v>
      </c>
      <c r="W83" s="53">
        <f t="shared" ca="1" si="28"/>
        <v>0</v>
      </c>
      <c r="X83" s="150">
        <f t="shared" ca="1" si="28"/>
        <v>0</v>
      </c>
    </row>
    <row r="84" spans="2:24" s="54" customFormat="1" ht="15" customHeight="1" x14ac:dyDescent="0.25">
      <c r="B84" s="56" t="s">
        <v>333</v>
      </c>
      <c r="C84" s="292"/>
      <c r="N84" s="204"/>
      <c r="O84" s="204"/>
      <c r="P84" s="295"/>
      <c r="Q84" s="295"/>
      <c r="R84" s="295"/>
      <c r="S84" s="295"/>
      <c r="T84" s="295"/>
      <c r="U84" s="295"/>
      <c r="V84" s="295"/>
      <c r="W84" s="295"/>
      <c r="X84" s="300"/>
    </row>
    <row r="85" spans="2:24" s="54" customFormat="1" ht="15" customHeight="1" x14ac:dyDescent="0.25">
      <c r="B85" s="333" t="s">
        <v>334</v>
      </c>
      <c r="C85" s="292" t="s">
        <v>36</v>
      </c>
      <c r="N85" s="204"/>
      <c r="O85" s="204"/>
      <c r="P85" s="53">
        <f>P57</f>
        <v>0</v>
      </c>
      <c r="Q85" s="53">
        <f t="shared" ref="Q85:T85" si="29">Q57</f>
        <v>0</v>
      </c>
      <c r="R85" s="53">
        <f t="shared" si="29"/>
        <v>0</v>
      </c>
      <c r="S85" s="53">
        <f t="shared" si="29"/>
        <v>0</v>
      </c>
      <c r="T85" s="53">
        <f t="shared" si="29"/>
        <v>0</v>
      </c>
      <c r="U85" s="53"/>
      <c r="V85" s="53"/>
      <c r="W85" s="53"/>
      <c r="X85" s="150"/>
    </row>
    <row r="86" spans="2:24" s="54" customFormat="1" ht="15" customHeight="1" x14ac:dyDescent="0.25">
      <c r="B86" s="333" t="s">
        <v>331</v>
      </c>
      <c r="C86" s="292" t="s">
        <v>36</v>
      </c>
      <c r="N86" s="204"/>
      <c r="O86" s="204"/>
      <c r="P86" s="53">
        <f t="shared" ref="P86:T86" si="30">P58</f>
        <v>15.888720431768489</v>
      </c>
      <c r="Q86" s="53">
        <f t="shared" si="30"/>
        <v>31.512869275513719</v>
      </c>
      <c r="R86" s="53">
        <f t="shared" si="30"/>
        <v>47.370141600117257</v>
      </c>
      <c r="S86" s="53">
        <f t="shared" si="30"/>
        <v>63.415024294954101</v>
      </c>
      <c r="T86" s="53">
        <f t="shared" si="30"/>
        <v>79.727165303617994</v>
      </c>
      <c r="U86" s="53"/>
      <c r="V86" s="53"/>
      <c r="W86" s="53"/>
      <c r="X86" s="150"/>
    </row>
    <row r="87" spans="2:24" s="54" customFormat="1" ht="15" customHeight="1" x14ac:dyDescent="0.25">
      <c r="B87" s="333" t="s">
        <v>335</v>
      </c>
      <c r="C87" s="292" t="s">
        <v>36</v>
      </c>
      <c r="N87" s="204"/>
      <c r="O87" s="204"/>
      <c r="P87" s="53">
        <f t="shared" ref="P87:T87" si="31">P59</f>
        <v>0</v>
      </c>
      <c r="Q87" s="53">
        <f t="shared" si="31"/>
        <v>0</v>
      </c>
      <c r="R87" s="53">
        <f t="shared" si="31"/>
        <v>0</v>
      </c>
      <c r="S87" s="53">
        <f t="shared" si="31"/>
        <v>0</v>
      </c>
      <c r="T87" s="53">
        <f t="shared" si="31"/>
        <v>0</v>
      </c>
      <c r="U87" s="53"/>
      <c r="V87" s="53"/>
      <c r="W87" s="53"/>
      <c r="X87" s="150"/>
    </row>
    <row r="88" spans="2:24" s="54" customFormat="1" ht="15" customHeight="1" x14ac:dyDescent="0.25">
      <c r="B88" s="333" t="s">
        <v>345</v>
      </c>
      <c r="C88" s="292" t="s">
        <v>36</v>
      </c>
      <c r="N88" s="204"/>
      <c r="O88" s="204"/>
      <c r="P88" s="53">
        <f t="shared" ref="P88:T88" si="32">P60</f>
        <v>15.888720431768489</v>
      </c>
      <c r="Q88" s="53">
        <f t="shared" si="32"/>
        <v>31.512869275513719</v>
      </c>
      <c r="R88" s="53">
        <f t="shared" si="32"/>
        <v>47.370141600117257</v>
      </c>
      <c r="S88" s="53">
        <f t="shared" si="32"/>
        <v>63.415024294954101</v>
      </c>
      <c r="T88" s="53">
        <f t="shared" si="32"/>
        <v>79.727165303617994</v>
      </c>
      <c r="U88" s="53"/>
      <c r="V88" s="53"/>
      <c r="W88" s="53"/>
      <c r="X88" s="150"/>
    </row>
    <row r="89" spans="2:24" s="54" customFormat="1" ht="15" customHeight="1" x14ac:dyDescent="0.25">
      <c r="B89" s="56" t="s">
        <v>336</v>
      </c>
      <c r="C89" s="292"/>
      <c r="N89" s="204"/>
      <c r="O89" s="204"/>
      <c r="P89" s="295"/>
      <c r="Q89" s="295"/>
      <c r="R89" s="295"/>
      <c r="S89" s="295"/>
      <c r="T89" s="295"/>
      <c r="U89" s="295"/>
      <c r="V89" s="295"/>
      <c r="W89" s="295"/>
      <c r="X89" s="300"/>
    </row>
    <row r="90" spans="2:24" s="54" customFormat="1" ht="15" customHeight="1" x14ac:dyDescent="0.25">
      <c r="B90" s="333" t="s">
        <v>337</v>
      </c>
      <c r="C90" s="292" t="s">
        <v>36</v>
      </c>
      <c r="N90" s="204"/>
      <c r="O90" s="204"/>
      <c r="P90" s="53">
        <f>P62-P35</f>
        <v>-18.208960173664764</v>
      </c>
      <c r="Q90" s="53">
        <f t="shared" ref="Q90:X90" si="33">Q62-Q35</f>
        <v>-29.750444824081569</v>
      </c>
      <c r="R90" s="53">
        <f t="shared" si="33"/>
        <v>-30.229569311710293</v>
      </c>
      <c r="S90" s="53">
        <f t="shared" si="33"/>
        <v>-30.689959046786043</v>
      </c>
      <c r="T90" s="53">
        <f t="shared" si="33"/>
        <v>-31.091310888118187</v>
      </c>
      <c r="U90" s="53">
        <f t="shared" si="33"/>
        <v>-31.428835682519093</v>
      </c>
      <c r="V90" s="53">
        <f t="shared" si="33"/>
        <v>-31.773598915588991</v>
      </c>
      <c r="W90" s="53">
        <f t="shared" si="33"/>
        <v>-32.099277358419386</v>
      </c>
      <c r="X90" s="150">
        <f t="shared" si="33"/>
        <v>-32.406746636842399</v>
      </c>
    </row>
    <row r="91" spans="2:24" s="54" customFormat="1" ht="15" customHeight="1" x14ac:dyDescent="0.25">
      <c r="B91" s="333" t="s">
        <v>338</v>
      </c>
      <c r="C91" s="292" t="s">
        <v>36</v>
      </c>
      <c r="N91" s="204"/>
      <c r="O91" s="204"/>
      <c r="P91" s="53">
        <f>P63-P36</f>
        <v>33.338814849139453</v>
      </c>
      <c r="Q91" s="53">
        <f t="shared" ref="Q91:X91" si="34">Q63-Q36</f>
        <v>34.120453322469075</v>
      </c>
      <c r="R91" s="53">
        <f t="shared" si="34"/>
        <v>35.143149512931132</v>
      </c>
      <c r="S91" s="53">
        <f t="shared" si="34"/>
        <v>35.955786544953753</v>
      </c>
      <c r="T91" s="53">
        <f t="shared" si="34"/>
        <v>37.086553101239133</v>
      </c>
      <c r="U91" s="53">
        <f t="shared" si="34"/>
        <v>27.272004609541909</v>
      </c>
      <c r="V91" s="53">
        <f t="shared" si="34"/>
        <v>28.09367853533854</v>
      </c>
      <c r="W91" s="53">
        <f t="shared" si="34"/>
        <v>28.884836720265866</v>
      </c>
      <c r="X91" s="150">
        <f t="shared" si="34"/>
        <v>29.656688186444399</v>
      </c>
    </row>
    <row r="92" spans="2:24" s="54" customFormat="1" ht="15" customHeight="1" x14ac:dyDescent="0.25">
      <c r="B92" s="333" t="s">
        <v>339</v>
      </c>
      <c r="C92" s="292" t="s">
        <v>36</v>
      </c>
      <c r="N92" s="204"/>
      <c r="O92" s="204"/>
      <c r="P92" s="53">
        <f>P64-P37</f>
        <v>11.129907711778856</v>
      </c>
      <c r="Q92" s="53">
        <f t="shared" ref="Q92:X92" si="35">Q64-Q37</f>
        <v>11.390851722881166</v>
      </c>
      <c r="R92" s="53">
        <f t="shared" si="35"/>
        <v>11.732271004536415</v>
      </c>
      <c r="S92" s="53">
        <f t="shared" si="35"/>
        <v>12.003563646776797</v>
      </c>
      <c r="T92" s="53">
        <f t="shared" si="35"/>
        <v>12.381061391431786</v>
      </c>
      <c r="U92" s="53">
        <f t="shared" si="35"/>
        <v>25.796223953369577</v>
      </c>
      <c r="V92" s="53">
        <f t="shared" si="35"/>
        <v>26.573434316522594</v>
      </c>
      <c r="W92" s="53">
        <f t="shared" si="35"/>
        <v>27.321780249031917</v>
      </c>
      <c r="X92" s="150">
        <f t="shared" si="35"/>
        <v>28.051864214818124</v>
      </c>
    </row>
    <row r="93" spans="2:24" s="54" customFormat="1" ht="15" customHeight="1" x14ac:dyDescent="0.25">
      <c r="B93" s="333" t="s">
        <v>346</v>
      </c>
      <c r="C93" s="292" t="s">
        <v>36</v>
      </c>
      <c r="N93" s="204"/>
      <c r="O93" s="204"/>
      <c r="P93" s="53">
        <f>SUM(P90:P92)</f>
        <v>26.259762387253545</v>
      </c>
      <c r="Q93" s="53">
        <f t="shared" ref="Q93:X93" si="36">SUM(Q90:Q92)</f>
        <v>15.760860221268672</v>
      </c>
      <c r="R93" s="53">
        <f t="shared" si="36"/>
        <v>16.645851205757253</v>
      </c>
      <c r="S93" s="53">
        <f t="shared" si="36"/>
        <v>17.269391144944507</v>
      </c>
      <c r="T93" s="53">
        <f t="shared" si="36"/>
        <v>18.376303604552731</v>
      </c>
      <c r="U93" s="53">
        <f t="shared" si="36"/>
        <v>21.639392880392393</v>
      </c>
      <c r="V93" s="53">
        <f t="shared" si="36"/>
        <v>22.893513936272143</v>
      </c>
      <c r="W93" s="53">
        <f t="shared" si="36"/>
        <v>24.107339610878398</v>
      </c>
      <c r="X93" s="150">
        <f t="shared" si="36"/>
        <v>25.301805764420124</v>
      </c>
    </row>
    <row r="94" spans="2:24" s="54" customFormat="1" ht="15" customHeight="1" x14ac:dyDescent="0.25">
      <c r="B94" s="56" t="s">
        <v>343</v>
      </c>
      <c r="C94" s="292"/>
      <c r="N94" s="204"/>
      <c r="O94" s="204"/>
      <c r="P94" s="295"/>
      <c r="Q94" s="295"/>
      <c r="R94" s="295"/>
      <c r="S94" s="295"/>
      <c r="T94" s="295"/>
      <c r="U94" s="295"/>
      <c r="V94" s="295"/>
      <c r="W94" s="295"/>
      <c r="X94" s="300"/>
    </row>
    <row r="95" spans="2:24" s="54" customFormat="1" ht="15" customHeight="1" x14ac:dyDescent="0.25">
      <c r="B95" s="333" t="s">
        <v>340</v>
      </c>
      <c r="C95" s="292" t="s">
        <v>252</v>
      </c>
      <c r="N95" s="204"/>
      <c r="O95" s="204"/>
      <c r="P95" s="53">
        <f>P67-P40</f>
        <v>16.463441045993932</v>
      </c>
      <c r="Q95" s="53">
        <f t="shared" ref="Q95:X95" si="37">Q67-Q40</f>
        <v>16.199137881073511</v>
      </c>
      <c r="R95" s="53">
        <f t="shared" si="37"/>
        <v>16.123295236894592</v>
      </c>
      <c r="S95" s="53">
        <f t="shared" si="37"/>
        <v>15.98033333127114</v>
      </c>
      <c r="T95" s="53">
        <f t="shared" si="37"/>
        <v>16.177105030948951</v>
      </c>
      <c r="U95" s="53">
        <f t="shared" si="37"/>
        <v>17.301955880529022</v>
      </c>
      <c r="V95" s="53">
        <f t="shared" si="37"/>
        <v>17.254548243869067</v>
      </c>
      <c r="W95" s="53">
        <f t="shared" si="37"/>
        <v>17.242589747124839</v>
      </c>
      <c r="X95" s="150">
        <f t="shared" si="37"/>
        <v>17.266027215543545</v>
      </c>
    </row>
    <row r="96" spans="2:24" s="54" customFormat="1" ht="15" customHeight="1" x14ac:dyDescent="0.25">
      <c r="B96" s="333" t="s">
        <v>341</v>
      </c>
      <c r="C96" s="292" t="s">
        <v>252</v>
      </c>
      <c r="N96" s="204"/>
      <c r="O96" s="204"/>
      <c r="P96" s="53">
        <f t="shared" ref="P96:X96" si="38">P68-P41</f>
        <v>139.93924889094831</v>
      </c>
      <c r="Q96" s="53">
        <f t="shared" si="38"/>
        <v>137.69267198912883</v>
      </c>
      <c r="R96" s="53">
        <f t="shared" si="38"/>
        <v>137.04800951360573</v>
      </c>
      <c r="S96" s="53">
        <f t="shared" si="38"/>
        <v>135.83283331580265</v>
      </c>
      <c r="T96" s="53">
        <f t="shared" si="38"/>
        <v>137.50539276306029</v>
      </c>
      <c r="U96" s="53">
        <f t="shared" si="38"/>
        <v>103.81173528317618</v>
      </c>
      <c r="V96" s="53">
        <f t="shared" si="38"/>
        <v>103.52728946321577</v>
      </c>
      <c r="W96" s="53">
        <f t="shared" si="38"/>
        <v>103.45553848274562</v>
      </c>
      <c r="X96" s="150">
        <f t="shared" si="38"/>
        <v>103.596163293264</v>
      </c>
    </row>
    <row r="97" spans="2:24" s="54" customFormat="1" ht="15" customHeight="1" x14ac:dyDescent="0.25">
      <c r="B97" s="333" t="s">
        <v>342</v>
      </c>
      <c r="C97" s="292" t="s">
        <v>252</v>
      </c>
      <c r="N97" s="204"/>
      <c r="O97" s="204"/>
      <c r="P97" s="53">
        <f t="shared" ref="P97:X97" si="39">P69-P42</f>
        <v>8.2317205229969659</v>
      </c>
      <c r="Q97" s="53">
        <f t="shared" si="39"/>
        <v>8.0995689405369831</v>
      </c>
      <c r="R97" s="53">
        <f t="shared" si="39"/>
        <v>8.0616476184474095</v>
      </c>
      <c r="S97" s="53">
        <f t="shared" si="39"/>
        <v>7.9901666656354564</v>
      </c>
      <c r="T97" s="53">
        <f t="shared" si="39"/>
        <v>8.0885525154741345</v>
      </c>
      <c r="U97" s="53">
        <f t="shared" si="39"/>
        <v>17.301955880529363</v>
      </c>
      <c r="V97" s="53">
        <f t="shared" si="39"/>
        <v>17.254548243869294</v>
      </c>
      <c r="W97" s="53">
        <f t="shared" si="39"/>
        <v>17.242589747124271</v>
      </c>
      <c r="X97" s="150">
        <f t="shared" si="39"/>
        <v>17.266027215544</v>
      </c>
    </row>
    <row r="98" spans="2:24" s="54" customFormat="1" ht="15" customHeight="1" x14ac:dyDescent="0.25">
      <c r="B98" s="333" t="s">
        <v>345</v>
      </c>
      <c r="C98" s="292" t="s">
        <v>252</v>
      </c>
      <c r="N98" s="204"/>
      <c r="O98" s="204"/>
      <c r="P98" s="53">
        <f t="shared" ref="P98:X98" si="40">P70-P43</f>
        <v>164.63441045994023</v>
      </c>
      <c r="Q98" s="53">
        <f t="shared" si="40"/>
        <v>161.99137881073966</v>
      </c>
      <c r="R98" s="53">
        <f t="shared" si="40"/>
        <v>161.23295236894683</v>
      </c>
      <c r="S98" s="53">
        <f t="shared" si="40"/>
        <v>159.80333331270958</v>
      </c>
      <c r="T98" s="53">
        <f t="shared" si="40"/>
        <v>161.77105030948314</v>
      </c>
      <c r="U98" s="53">
        <f t="shared" si="40"/>
        <v>138.41564704423399</v>
      </c>
      <c r="V98" s="53">
        <f t="shared" si="40"/>
        <v>138.03638595095435</v>
      </c>
      <c r="W98" s="53">
        <f t="shared" si="40"/>
        <v>137.94071797699416</v>
      </c>
      <c r="X98" s="150">
        <f t="shared" si="40"/>
        <v>138.128217724352</v>
      </c>
    </row>
    <row r="99" spans="2:24" s="54" customFormat="1" ht="15" customHeight="1" x14ac:dyDescent="0.25">
      <c r="B99" s="333" t="s">
        <v>344</v>
      </c>
      <c r="C99" s="292" t="s">
        <v>252</v>
      </c>
      <c r="N99" s="204"/>
      <c r="O99" s="204"/>
      <c r="P99" s="53">
        <f ca="1">P71-P44</f>
        <v>113.5951690110378</v>
      </c>
      <c r="Q99" s="53">
        <f t="shared" ref="Q99:X99" ca="1" si="41">Q71-Q44</f>
        <v>-13.937505784910172</v>
      </c>
      <c r="R99" s="53">
        <f t="shared" ca="1" si="41"/>
        <v>-86.150742702186108</v>
      </c>
      <c r="S99" s="53">
        <f t="shared" ca="1" si="41"/>
        <v>-125.05300523061305</v>
      </c>
      <c r="T99" s="53">
        <f t="shared" ca="1" si="41"/>
        <v>-149.52029457176104</v>
      </c>
      <c r="U99" s="53">
        <f t="shared" ca="1" si="41"/>
        <v>-378.90963531518355</v>
      </c>
      <c r="V99" s="53">
        <f t="shared" ca="1" si="41"/>
        <v>-373.4165215427056</v>
      </c>
      <c r="W99" s="53">
        <f t="shared" ca="1" si="41"/>
        <v>-369.66767994547263</v>
      </c>
      <c r="X99" s="150">
        <f t="shared" ca="1" si="41"/>
        <v>-368.32048095343634</v>
      </c>
    </row>
    <row r="100" spans="2:24" s="54" customFormat="1" ht="15" customHeight="1" x14ac:dyDescent="0.25">
      <c r="B100" s="56" t="s">
        <v>325</v>
      </c>
      <c r="C100" s="292"/>
      <c r="N100" s="204"/>
      <c r="O100" s="204"/>
      <c r="P100" s="295"/>
      <c r="Q100" s="295"/>
      <c r="R100" s="295"/>
      <c r="S100" s="295"/>
      <c r="T100" s="295"/>
      <c r="U100" s="295"/>
      <c r="V100" s="295"/>
      <c r="W100" s="295"/>
      <c r="X100" s="300"/>
    </row>
    <row r="101" spans="2:24" s="54" customFormat="1" ht="15" customHeight="1" x14ac:dyDescent="0.25">
      <c r="B101" s="333" t="s">
        <v>340</v>
      </c>
      <c r="C101" s="292" t="s">
        <v>36</v>
      </c>
      <c r="N101" s="204"/>
      <c r="O101" s="204"/>
      <c r="P101" s="53">
        <f t="shared" ref="P101:X101" si="42">P73-P46</f>
        <v>0.44072316161577874</v>
      </c>
      <c r="Q101" s="53">
        <f t="shared" si="42"/>
        <v>0.45105604779564601</v>
      </c>
      <c r="R101" s="53">
        <f t="shared" si="42"/>
        <v>0.46457560151918642</v>
      </c>
      <c r="S101" s="53">
        <f t="shared" si="42"/>
        <v>0.47531827379532388</v>
      </c>
      <c r="T101" s="53">
        <f t="shared" si="42"/>
        <v>0.49026646598485968</v>
      </c>
      <c r="U101" s="53">
        <f t="shared" si="42"/>
        <v>0.51074068504840398</v>
      </c>
      <c r="V101" s="53">
        <f t="shared" si="42"/>
        <v>0.52612871059898225</v>
      </c>
      <c r="W101" s="53">
        <f t="shared" si="42"/>
        <v>0.54094524789195475</v>
      </c>
      <c r="X101" s="150">
        <f t="shared" si="42"/>
        <v>0.55540021562296715</v>
      </c>
    </row>
    <row r="102" spans="2:24" s="54" customFormat="1" ht="15" customHeight="1" x14ac:dyDescent="0.25">
      <c r="B102" s="333" t="s">
        <v>341</v>
      </c>
      <c r="C102" s="292" t="s">
        <v>36</v>
      </c>
      <c r="N102" s="204"/>
      <c r="O102" s="204"/>
      <c r="P102" s="53">
        <f t="shared" ref="P102:X102" si="43">P74-P47</f>
        <v>3.7461468737345029</v>
      </c>
      <c r="Q102" s="53">
        <f t="shared" si="43"/>
        <v>3.8339764062629911</v>
      </c>
      <c r="R102" s="53">
        <f t="shared" si="43"/>
        <v>3.9488926129132835</v>
      </c>
      <c r="S102" s="53">
        <f t="shared" si="43"/>
        <v>4.0402053272604519</v>
      </c>
      <c r="T102" s="53">
        <f t="shared" si="43"/>
        <v>4.1672649608713073</v>
      </c>
      <c r="U102" s="53">
        <f t="shared" si="43"/>
        <v>3.0644441102904239</v>
      </c>
      <c r="V102" s="53">
        <f t="shared" si="43"/>
        <v>3.1567722635940356</v>
      </c>
      <c r="W102" s="53">
        <f t="shared" si="43"/>
        <v>3.2456714873518706</v>
      </c>
      <c r="X102" s="150">
        <f t="shared" si="43"/>
        <v>3.3324012937380871</v>
      </c>
    </row>
    <row r="103" spans="2:24" s="54" customFormat="1" ht="15" customHeight="1" x14ac:dyDescent="0.25">
      <c r="B103" s="333" t="s">
        <v>342</v>
      </c>
      <c r="C103" s="292" t="s">
        <v>36</v>
      </c>
      <c r="N103" s="204"/>
      <c r="O103" s="204"/>
      <c r="P103" s="53">
        <f t="shared" ref="P103:X103" si="44">P75-P48</f>
        <v>0.22036158080791246</v>
      </c>
      <c r="Q103" s="53">
        <f t="shared" si="44"/>
        <v>0.225528023897823</v>
      </c>
      <c r="R103" s="53">
        <f t="shared" si="44"/>
        <v>0.23228780075960387</v>
      </c>
      <c r="S103" s="53">
        <f t="shared" si="44"/>
        <v>0.2376591368976726</v>
      </c>
      <c r="T103" s="53">
        <f t="shared" si="44"/>
        <v>0.24513323299242984</v>
      </c>
      <c r="U103" s="53">
        <f t="shared" si="44"/>
        <v>0.51074068504840398</v>
      </c>
      <c r="V103" s="53">
        <f t="shared" si="44"/>
        <v>0.52612871059900534</v>
      </c>
      <c r="W103" s="53">
        <f t="shared" si="44"/>
        <v>0.54094524789197784</v>
      </c>
      <c r="X103" s="150">
        <f t="shared" si="44"/>
        <v>0.55540021562301334</v>
      </c>
    </row>
    <row r="104" spans="2:24" s="54" customFormat="1" ht="15" customHeight="1" x14ac:dyDescent="0.25">
      <c r="B104" s="333" t="s">
        <v>345</v>
      </c>
      <c r="C104" s="292" t="s">
        <v>36</v>
      </c>
      <c r="N104" s="204"/>
      <c r="O104" s="204"/>
      <c r="P104" s="53">
        <f>SUM(P101:P103)</f>
        <v>4.4072316161581941</v>
      </c>
      <c r="Q104" s="53">
        <f t="shared" ref="Q104:X104" si="45">SUM(Q101:Q103)</f>
        <v>4.5105604779564601</v>
      </c>
      <c r="R104" s="53">
        <f t="shared" si="45"/>
        <v>4.6457560151920738</v>
      </c>
      <c r="S104" s="53">
        <f t="shared" si="45"/>
        <v>4.7531827379534484</v>
      </c>
      <c r="T104" s="53">
        <f t="shared" si="45"/>
        <v>4.9026646598485968</v>
      </c>
      <c r="U104" s="53">
        <f t="shared" si="45"/>
        <v>4.0859254803872318</v>
      </c>
      <c r="V104" s="53">
        <f t="shared" si="45"/>
        <v>4.2090296847920232</v>
      </c>
      <c r="W104" s="53">
        <f t="shared" si="45"/>
        <v>4.3275619831358032</v>
      </c>
      <c r="X104" s="150">
        <f t="shared" si="45"/>
        <v>4.4432017249840676</v>
      </c>
    </row>
    <row r="105" spans="2:24" s="54" customFormat="1" ht="15" customHeight="1" x14ac:dyDescent="0.25">
      <c r="B105" s="333" t="s">
        <v>344</v>
      </c>
      <c r="C105" s="292" t="s">
        <v>36</v>
      </c>
      <c r="N105" s="204"/>
      <c r="O105" s="204"/>
      <c r="P105" s="53">
        <f ca="1">P77-P50</f>
        <v>12.869863895175513</v>
      </c>
      <c r="Q105" s="53">
        <f ca="1">Q77-Q50</f>
        <v>5.2355484190047719</v>
      </c>
      <c r="R105" s="53">
        <f t="shared" ref="R105:X105" ca="1" si="46">R77-R50</f>
        <v>0.37781861156690866</v>
      </c>
      <c r="S105" s="53">
        <f t="shared" ca="1" si="46"/>
        <v>-2.9139924373012036</v>
      </c>
      <c r="T105" s="53">
        <f t="shared" ca="1" si="46"/>
        <v>-5.3314789108699188</v>
      </c>
      <c r="U105" s="53">
        <f t="shared" ca="1" si="46"/>
        <v>-17.663598355604336</v>
      </c>
      <c r="V105" s="53">
        <f t="shared" ca="1" si="46"/>
        <v>-18.370202134829015</v>
      </c>
      <c r="W105" s="53">
        <f t="shared" ca="1" si="46"/>
        <v>-19.257736111758277</v>
      </c>
      <c r="X105" s="150">
        <f t="shared" ca="1" si="46"/>
        <v>-20.261558976955712</v>
      </c>
    </row>
    <row r="106" spans="2:24" s="54" customFormat="1" ht="12.75" customHeight="1" x14ac:dyDescent="0.25">
      <c r="B106" s="333" t="s">
        <v>362</v>
      </c>
      <c r="C106" s="292" t="s">
        <v>36</v>
      </c>
      <c r="N106" s="204"/>
      <c r="O106" s="204"/>
      <c r="P106" s="53">
        <f ca="1">P78-P51</f>
        <v>4.5602325058935094</v>
      </c>
      <c r="Q106" s="53">
        <f t="shared" ref="Q106:X106" ca="1" si="47">Q78-Q51</f>
        <v>3.6942801823097398</v>
      </c>
      <c r="R106" s="53">
        <f t="shared" ca="1" si="47"/>
        <v>3.0148630652838619</v>
      </c>
      <c r="S106" s="53">
        <f t="shared" ca="1" si="47"/>
        <v>2.6703566204741946</v>
      </c>
      <c r="T106" s="53">
        <f t="shared" ca="1" si="47"/>
        <v>2.2903705330536468</v>
      </c>
      <c r="U106" s="53">
        <f t="shared" ca="1" si="47"/>
        <v>11.412185719083936</v>
      </c>
      <c r="V106" s="53">
        <f t="shared" ca="1" si="47"/>
        <v>11.663786361328675</v>
      </c>
      <c r="W106" s="53">
        <f t="shared" ca="1" si="47"/>
        <v>12.199025276822795</v>
      </c>
      <c r="X106" s="150">
        <f t="shared" ca="1" si="47"/>
        <v>12.7850240430962</v>
      </c>
    </row>
    <row r="107" spans="2:24" s="54" customFormat="1" ht="15" customHeight="1" x14ac:dyDescent="0.25">
      <c r="B107" s="429" t="s">
        <v>364</v>
      </c>
      <c r="C107" s="430" t="s">
        <v>36</v>
      </c>
      <c r="D107" s="242"/>
      <c r="E107" s="242"/>
      <c r="F107" s="242"/>
      <c r="G107" s="242"/>
      <c r="H107" s="242"/>
      <c r="I107" s="242"/>
      <c r="J107" s="242"/>
      <c r="K107" s="242"/>
      <c r="L107" s="242"/>
      <c r="M107" s="242"/>
      <c r="N107" s="425"/>
      <c r="O107" s="425"/>
      <c r="P107" s="514">
        <f ca="1">P79-P52</f>
        <v>21.837328017223626</v>
      </c>
      <c r="Q107" s="514">
        <f t="shared" ref="Q107:X107" ca="1" si="48">Q79-Q52</f>
        <v>13.44038907927461</v>
      </c>
      <c r="R107" s="514">
        <f t="shared" ca="1" si="48"/>
        <v>8.0384376920410432</v>
      </c>
      <c r="S107" s="514">
        <f t="shared" ca="1" si="48"/>
        <v>4.5095469211228192</v>
      </c>
      <c r="T107" s="514">
        <f t="shared" ca="1" si="48"/>
        <v>1.8615562820341438</v>
      </c>
      <c r="U107" s="514">
        <f t="shared" ca="1" si="48"/>
        <v>-2.1654871561331674</v>
      </c>
      <c r="V107" s="514">
        <f t="shared" ca="1" si="48"/>
        <v>-2.4973860887112096</v>
      </c>
      <c r="W107" s="514">
        <f t="shared" ca="1" si="48"/>
        <v>-2.7311488518025726</v>
      </c>
      <c r="X107" s="515">
        <f t="shared" ca="1" si="48"/>
        <v>-3.0333332088775933</v>
      </c>
    </row>
    <row r="108" spans="2:24" s="54" customFormat="1" ht="15" customHeight="1" x14ac:dyDescent="0.25">
      <c r="B108" s="333"/>
      <c r="C108" s="300"/>
      <c r="N108" s="204"/>
      <c r="O108" s="204"/>
      <c r="P108" s="527">
        <f ca="1">P107</f>
        <v>21.837328017223626</v>
      </c>
      <c r="Q108" s="528">
        <f ca="1">Q107-P107</f>
        <v>-8.3969389379490167</v>
      </c>
      <c r="R108" s="528">
        <f t="shared" ref="R108:X108" ca="1" si="49">R107-Q107</f>
        <v>-5.4019513872335665</v>
      </c>
      <c r="S108" s="528">
        <f t="shared" ca="1" si="49"/>
        <v>-3.528890770918224</v>
      </c>
      <c r="T108" s="528">
        <f t="shared" ca="1" si="49"/>
        <v>-2.6479906390886754</v>
      </c>
      <c r="U108" s="528">
        <f t="shared" ca="1" si="49"/>
        <v>-4.0270434381673113</v>
      </c>
      <c r="V108" s="528">
        <f t="shared" ca="1" si="49"/>
        <v>-0.33189893257804215</v>
      </c>
      <c r="W108" s="528">
        <f t="shared" ca="1" si="49"/>
        <v>-0.23376276309136301</v>
      </c>
      <c r="X108" s="513">
        <f t="shared" ca="1" si="49"/>
        <v>-0.30218435707502067</v>
      </c>
    </row>
    <row r="109" spans="2:24" s="54" customFormat="1" ht="21.75" customHeight="1" x14ac:dyDescent="0.3">
      <c r="B109" s="335" t="s">
        <v>422</v>
      </c>
      <c r="C109" s="334"/>
      <c r="N109" s="204"/>
      <c r="O109" s="204"/>
      <c r="P109" s="295"/>
      <c r="Q109" s="295"/>
      <c r="R109" s="295"/>
      <c r="S109" s="295"/>
      <c r="T109" s="295"/>
      <c r="U109" s="295"/>
      <c r="V109" s="295"/>
      <c r="W109" s="295"/>
      <c r="X109" s="300"/>
    </row>
    <row r="110" spans="2:24" s="54" customFormat="1" ht="15" customHeight="1" x14ac:dyDescent="0.25">
      <c r="B110" s="56" t="s">
        <v>348</v>
      </c>
      <c r="C110" s="292" t="s">
        <v>34</v>
      </c>
      <c r="N110" s="204"/>
      <c r="O110" s="204"/>
      <c r="P110" s="52">
        <f ca="1">(P55/P28-1)*100</f>
        <v>-5.6847890627531594E-2</v>
      </c>
      <c r="Q110" s="52">
        <f t="shared" ref="Q110:X110" ca="1" si="50">(Q55/Q28-1)*100</f>
        <v>-5.5040210278978208E-2</v>
      </c>
      <c r="R110" s="52">
        <f t="shared" ca="1" si="50"/>
        <v>-5.3343950148088126E-2</v>
      </c>
      <c r="S110" s="52">
        <f t="shared" ca="1" si="50"/>
        <v>-5.1749116785926308E-2</v>
      </c>
      <c r="T110" s="52">
        <f t="shared" ca="1" si="50"/>
        <v>-5.0246877154125347E-2</v>
      </c>
      <c r="U110" s="52">
        <f t="shared" ca="1" si="50"/>
        <v>-4.8829394946847682E-2</v>
      </c>
      <c r="V110" s="52">
        <f t="shared" ca="1" si="50"/>
        <v>-4.7489693857272197E-2</v>
      </c>
      <c r="W110" s="52">
        <f t="shared" ca="1" si="50"/>
        <v>-4.6221542751689881E-2</v>
      </c>
      <c r="X110" s="207">
        <f t="shared" ca="1" si="50"/>
        <v>-4.5019358762898865E-2</v>
      </c>
    </row>
    <row r="111" spans="2:24" s="54" customFormat="1" ht="15" customHeight="1" x14ac:dyDescent="0.25">
      <c r="B111" s="56" t="s">
        <v>333</v>
      </c>
      <c r="C111" s="292"/>
      <c r="N111" s="204"/>
      <c r="O111" s="204"/>
      <c r="P111" s="295"/>
      <c r="Q111" s="295"/>
      <c r="R111" s="295"/>
      <c r="S111" s="295"/>
      <c r="T111" s="295"/>
      <c r="U111" s="295"/>
      <c r="V111" s="295"/>
      <c r="W111" s="295"/>
      <c r="X111" s="300"/>
    </row>
    <row r="112" spans="2:24" s="54" customFormat="1" ht="15" customHeight="1" x14ac:dyDescent="0.25">
      <c r="B112" s="333" t="s">
        <v>334</v>
      </c>
      <c r="C112" s="292" t="s">
        <v>34</v>
      </c>
      <c r="N112" s="204"/>
      <c r="O112" s="204"/>
      <c r="P112" s="295"/>
      <c r="Q112" s="295"/>
      <c r="R112" s="295"/>
      <c r="S112" s="295"/>
      <c r="T112" s="295"/>
      <c r="U112" s="295"/>
      <c r="V112" s="295"/>
      <c r="W112" s="295"/>
      <c r="X112" s="300"/>
    </row>
    <row r="113" spans="2:24" s="54" customFormat="1" ht="15" customHeight="1" x14ac:dyDescent="0.25">
      <c r="B113" s="333" t="s">
        <v>331</v>
      </c>
      <c r="C113" s="292" t="s">
        <v>34</v>
      </c>
      <c r="N113" s="204"/>
      <c r="O113" s="204"/>
      <c r="P113" s="295"/>
      <c r="Q113" s="295"/>
      <c r="R113" s="295"/>
      <c r="S113" s="295"/>
      <c r="T113" s="295"/>
      <c r="U113" s="295"/>
      <c r="V113" s="295"/>
      <c r="W113" s="295"/>
      <c r="X113" s="300"/>
    </row>
    <row r="114" spans="2:24" s="54" customFormat="1" ht="15" customHeight="1" x14ac:dyDescent="0.25">
      <c r="B114" s="333" t="s">
        <v>335</v>
      </c>
      <c r="C114" s="292" t="s">
        <v>34</v>
      </c>
      <c r="N114" s="204"/>
      <c r="O114" s="204"/>
      <c r="P114" s="295"/>
      <c r="Q114" s="295"/>
      <c r="R114" s="295"/>
      <c r="S114" s="295"/>
      <c r="T114" s="295"/>
      <c r="U114" s="295"/>
      <c r="V114" s="295"/>
      <c r="W114" s="295"/>
      <c r="X114" s="300"/>
    </row>
    <row r="115" spans="2:24" s="54" customFormat="1" ht="15" customHeight="1" x14ac:dyDescent="0.25">
      <c r="B115" s="333" t="s">
        <v>345</v>
      </c>
      <c r="C115" s="292" t="s">
        <v>34</v>
      </c>
      <c r="N115" s="204"/>
      <c r="O115" s="204"/>
      <c r="P115" s="295"/>
      <c r="Q115" s="295"/>
      <c r="R115" s="295"/>
      <c r="S115" s="295"/>
      <c r="T115" s="295"/>
      <c r="U115" s="295"/>
      <c r="V115" s="295"/>
      <c r="W115" s="295"/>
      <c r="X115" s="300"/>
    </row>
    <row r="116" spans="2:24" s="54" customFormat="1" ht="15" customHeight="1" x14ac:dyDescent="0.25">
      <c r="B116" s="56" t="s">
        <v>336</v>
      </c>
      <c r="C116" s="292"/>
      <c r="N116" s="204"/>
      <c r="O116" s="204"/>
      <c r="P116" s="295"/>
      <c r="Q116" s="295"/>
      <c r="R116" s="295"/>
      <c r="S116" s="295"/>
      <c r="T116" s="295"/>
      <c r="U116" s="295"/>
      <c r="V116" s="295"/>
      <c r="W116" s="295"/>
      <c r="X116" s="300"/>
    </row>
    <row r="117" spans="2:24" s="54" customFormat="1" ht="15" customHeight="1" x14ac:dyDescent="0.25">
      <c r="B117" s="333" t="s">
        <v>337</v>
      </c>
      <c r="C117" s="292" t="s">
        <v>34</v>
      </c>
      <c r="N117" s="204"/>
      <c r="O117" s="204"/>
      <c r="P117" s="52">
        <f t="shared" ref="P117:X117" si="51">(P62/P35-1)*100</f>
        <v>-0.46187165364889315</v>
      </c>
      <c r="Q117" s="52">
        <f t="shared" si="51"/>
        <v>-0.74760450690022351</v>
      </c>
      <c r="R117" s="52">
        <f t="shared" si="51"/>
        <v>-0.75253912642657683</v>
      </c>
      <c r="S117" s="52">
        <f t="shared" si="51"/>
        <v>-0.75682826692359262</v>
      </c>
      <c r="T117" s="52">
        <f t="shared" si="51"/>
        <v>-0.75951494463099012</v>
      </c>
      <c r="U117" s="52">
        <f t="shared" si="51"/>
        <v>-0.76053632422455886</v>
      </c>
      <c r="V117" s="52">
        <f t="shared" si="51"/>
        <v>-0.76164976524116801</v>
      </c>
      <c r="W117" s="52">
        <f t="shared" si="51"/>
        <v>-0.7622337055945505</v>
      </c>
      <c r="X117" s="207">
        <f t="shared" si="51"/>
        <v>-0.76232875924658883</v>
      </c>
    </row>
    <row r="118" spans="2:24" s="54" customFormat="1" ht="15" customHeight="1" x14ac:dyDescent="0.25">
      <c r="B118" s="333" t="s">
        <v>338</v>
      </c>
      <c r="C118" s="292" t="s">
        <v>34</v>
      </c>
      <c r="N118" s="204"/>
      <c r="O118" s="204"/>
      <c r="P118" s="52">
        <f t="shared" ref="P118:X118" si="52">(P63/P36-1)*100</f>
        <v>3.1620493966037166</v>
      </c>
      <c r="Q118" s="52">
        <f t="shared" si="52"/>
        <v>3.2892541842930667</v>
      </c>
      <c r="R118" s="52">
        <f t="shared" si="52"/>
        <v>3.3395877216940706</v>
      </c>
      <c r="S118" s="52">
        <f t="shared" si="52"/>
        <v>3.3827440124086561</v>
      </c>
      <c r="T118" s="52">
        <f t="shared" si="52"/>
        <v>3.4301282528439447</v>
      </c>
      <c r="U118" s="52">
        <f t="shared" si="52"/>
        <v>2.4885151877344747</v>
      </c>
      <c r="V118" s="52">
        <f t="shared" si="52"/>
        <v>2.5296842708037559</v>
      </c>
      <c r="W118" s="52">
        <f t="shared" si="52"/>
        <v>2.5672652947777541</v>
      </c>
      <c r="X118" s="207">
        <f t="shared" si="52"/>
        <v>2.5999321825158184</v>
      </c>
    </row>
    <row r="119" spans="2:24" s="54" customFormat="1" ht="15" customHeight="1" x14ac:dyDescent="0.25">
      <c r="B119" s="333" t="s">
        <v>339</v>
      </c>
      <c r="C119" s="292" t="s">
        <v>34</v>
      </c>
      <c r="N119" s="204"/>
      <c r="O119" s="204"/>
      <c r="P119" s="52">
        <f t="shared" ref="P119:X119" si="53">(P64/P37-1)*100</f>
        <v>1.6855885845147078</v>
      </c>
      <c r="Q119" s="52">
        <f t="shared" si="53"/>
        <v>1.7463024883150879</v>
      </c>
      <c r="R119" s="52">
        <f t="shared" si="53"/>
        <v>1.8210177417133266</v>
      </c>
      <c r="S119" s="52">
        <f t="shared" si="53"/>
        <v>1.8865933911470956</v>
      </c>
      <c r="T119" s="52">
        <f t="shared" si="53"/>
        <v>1.970747162945452</v>
      </c>
      <c r="U119" s="52">
        <f t="shared" si="53"/>
        <v>4.1591517882729523</v>
      </c>
      <c r="V119" s="52">
        <f t="shared" si="53"/>
        <v>4.3405466579533591</v>
      </c>
      <c r="W119" s="52">
        <f t="shared" si="53"/>
        <v>4.5219762080489723</v>
      </c>
      <c r="X119" s="207">
        <f t="shared" si="53"/>
        <v>4.7052202189951098</v>
      </c>
    </row>
    <row r="120" spans="2:24" s="54" customFormat="1" ht="15" customHeight="1" x14ac:dyDescent="0.25">
      <c r="B120" s="333" t="s">
        <v>346</v>
      </c>
      <c r="C120" s="292" t="s">
        <v>34</v>
      </c>
      <c r="N120" s="204"/>
      <c r="O120" s="204"/>
      <c r="P120" s="52">
        <f>(P65/P38-1)*100</f>
        <v>0.46419381200912824</v>
      </c>
      <c r="Q120" s="52">
        <f t="shared" ref="Q120:X120" si="54">(Q65/Q38-1)*100</f>
        <v>0.27801583545905562</v>
      </c>
      <c r="R120" s="52">
        <f t="shared" si="54"/>
        <v>0.29133737454438702</v>
      </c>
      <c r="S120" s="52">
        <f t="shared" si="54"/>
        <v>0.30011544221457687</v>
      </c>
      <c r="T120" s="52">
        <f t="shared" si="54"/>
        <v>0.31666811012855955</v>
      </c>
      <c r="U120" s="52">
        <f t="shared" si="54"/>
        <v>0.36999272123146021</v>
      </c>
      <c r="V120" s="52">
        <f t="shared" si="54"/>
        <v>0.38839063411297836</v>
      </c>
      <c r="W120" s="52">
        <f t="shared" si="54"/>
        <v>0.40581106506494269</v>
      </c>
      <c r="X120" s="207">
        <f t="shared" si="54"/>
        <v>0.42255049611603646</v>
      </c>
    </row>
    <row r="121" spans="2:24" s="54" customFormat="1" ht="15" customHeight="1" x14ac:dyDescent="0.25">
      <c r="B121" s="56" t="s">
        <v>343</v>
      </c>
      <c r="C121" s="292"/>
      <c r="N121" s="204"/>
      <c r="O121" s="204"/>
      <c r="P121" s="295"/>
      <c r="Q121" s="295"/>
      <c r="R121" s="295"/>
      <c r="S121" s="295"/>
      <c r="T121" s="295"/>
      <c r="U121" s="295"/>
      <c r="V121" s="295"/>
      <c r="W121" s="295"/>
      <c r="X121" s="300"/>
    </row>
    <row r="122" spans="2:24" s="54" customFormat="1" ht="15" customHeight="1" x14ac:dyDescent="0.25">
      <c r="B122" s="333" t="s">
        <v>340</v>
      </c>
      <c r="C122" s="292" t="s">
        <v>34</v>
      </c>
      <c r="N122" s="204"/>
      <c r="O122" s="204"/>
      <c r="P122" s="52">
        <f>(P67/P40-1)*100</f>
        <v>0.32277586638038702</v>
      </c>
      <c r="Q122" s="52">
        <f t="shared" ref="Q122:X122" si="55">(Q67/Q40-1)*100</f>
        <v>0.31555013460613512</v>
      </c>
      <c r="R122" s="52">
        <f t="shared" si="55"/>
        <v>0.31115517532300796</v>
      </c>
      <c r="S122" s="52">
        <f t="shared" si="55"/>
        <v>0.30551753156675687</v>
      </c>
      <c r="T122" s="52">
        <f t="shared" si="55"/>
        <v>0.30638414102472922</v>
      </c>
      <c r="U122" s="52">
        <f t="shared" si="55"/>
        <v>0.32461625927382443</v>
      </c>
      <c r="V122" s="52">
        <f t="shared" si="55"/>
        <v>0.32069180543452536</v>
      </c>
      <c r="W122" s="52">
        <f t="shared" si="55"/>
        <v>0.31746793221441028</v>
      </c>
      <c r="X122" s="207">
        <f t="shared" si="55"/>
        <v>0.31492732813245272</v>
      </c>
    </row>
    <row r="123" spans="2:24" s="54" customFormat="1" ht="15" customHeight="1" x14ac:dyDescent="0.25">
      <c r="B123" s="333" t="s">
        <v>341</v>
      </c>
      <c r="C123" s="292" t="s">
        <v>34</v>
      </c>
      <c r="N123" s="204"/>
      <c r="O123" s="204"/>
      <c r="P123" s="52">
        <f t="shared" ref="P123:X123" si="56">(P68/P41-1)*100</f>
        <v>14.174398359635521</v>
      </c>
      <c r="Q123" s="52">
        <f t="shared" si="56"/>
        <v>14.175555073741908</v>
      </c>
      <c r="R123" s="52">
        <f t="shared" si="56"/>
        <v>13.908218674498585</v>
      </c>
      <c r="S123" s="52">
        <f t="shared" si="56"/>
        <v>13.647455998948432</v>
      </c>
      <c r="T123" s="52">
        <f t="shared" si="56"/>
        <v>13.58189038797355</v>
      </c>
      <c r="U123" s="52">
        <f t="shared" si="56"/>
        <v>10.116173920735271</v>
      </c>
      <c r="V123" s="52">
        <f t="shared" si="56"/>
        <v>9.9554101678228868</v>
      </c>
      <c r="W123" s="52">
        <f t="shared" si="56"/>
        <v>9.8197669555028622</v>
      </c>
      <c r="X123" s="207">
        <f t="shared" si="56"/>
        <v>9.6990599338960592</v>
      </c>
    </row>
    <row r="124" spans="2:24" s="54" customFormat="1" ht="15" customHeight="1" x14ac:dyDescent="0.25">
      <c r="B124" s="333" t="s">
        <v>342</v>
      </c>
      <c r="C124" s="292" t="s">
        <v>34</v>
      </c>
      <c r="N124" s="204"/>
      <c r="O124" s="204"/>
      <c r="P124" s="52">
        <f t="shared" ref="P124:X124" si="57">(P69/P42-1)*100</f>
        <v>7.4235724058243635</v>
      </c>
      <c r="Q124" s="52">
        <f t="shared" si="57"/>
        <v>7.3941370167816878</v>
      </c>
      <c r="R124" s="52">
        <f t="shared" si="57"/>
        <v>7.4510626507511502</v>
      </c>
      <c r="S124" s="52">
        <f t="shared" si="57"/>
        <v>7.4780137761565335</v>
      </c>
      <c r="T124" s="52">
        <f t="shared" si="57"/>
        <v>7.6666591577179366</v>
      </c>
      <c r="U124" s="52">
        <f t="shared" si="57"/>
        <v>16.611396524629708</v>
      </c>
      <c r="V124" s="52">
        <f t="shared" si="57"/>
        <v>16.782731627369294</v>
      </c>
      <c r="W124" s="52">
        <f t="shared" si="57"/>
        <v>16.993548981574591</v>
      </c>
      <c r="X124" s="207">
        <f t="shared" si="57"/>
        <v>17.245387650799969</v>
      </c>
    </row>
    <row r="125" spans="2:24" s="54" customFormat="1" ht="15" customHeight="1" x14ac:dyDescent="0.25">
      <c r="B125" s="333" t="s">
        <v>345</v>
      </c>
      <c r="C125" s="292" t="s">
        <v>34</v>
      </c>
      <c r="N125" s="204"/>
      <c r="O125" s="204"/>
      <c r="P125" s="52">
        <f t="shared" ref="P125:X125" si="58">(P70/P43-1)*100</f>
        <v>2.6559361219145261</v>
      </c>
      <c r="Q125" s="52">
        <f t="shared" si="58"/>
        <v>2.6066691671797537</v>
      </c>
      <c r="R125" s="52">
        <f t="shared" si="58"/>
        <v>2.569317301933105</v>
      </c>
      <c r="S125" s="52">
        <f t="shared" si="58"/>
        <v>2.5234529947115725</v>
      </c>
      <c r="T125" s="52">
        <f t="shared" si="58"/>
        <v>2.5284914749198473</v>
      </c>
      <c r="U125" s="52">
        <f t="shared" si="58"/>
        <v>2.1425493421523889</v>
      </c>
      <c r="V125" s="52">
        <f t="shared" si="58"/>
        <v>2.1161048035368335</v>
      </c>
      <c r="W125" s="52">
        <f t="shared" si="58"/>
        <v>2.0943599377952538</v>
      </c>
      <c r="X125" s="207">
        <f t="shared" si="58"/>
        <v>2.0768761355425713</v>
      </c>
    </row>
    <row r="126" spans="2:24" s="54" customFormat="1" ht="15" customHeight="1" x14ac:dyDescent="0.25">
      <c r="B126" s="333" t="s">
        <v>344</v>
      </c>
      <c r="C126" s="292" t="s">
        <v>34</v>
      </c>
      <c r="N126" s="204"/>
      <c r="O126" s="204"/>
      <c r="P126" s="311">
        <f t="shared" ref="P126:X126" ca="1" si="59">(P71/P44-1)*100</f>
        <v>2.9315995113687876E-3</v>
      </c>
      <c r="Q126" s="311">
        <f t="shared" ca="1" si="59"/>
        <v>-3.5580442926397282E-4</v>
      </c>
      <c r="R126" s="311">
        <f t="shared" ca="1" si="59"/>
        <v>-2.177434727734795E-3</v>
      </c>
      <c r="S126" s="311">
        <f t="shared" ca="1" si="59"/>
        <v>-3.1306350624427104E-3</v>
      </c>
      <c r="T126" s="311">
        <f t="shared" ca="1" si="59"/>
        <v>-3.7092772031455112E-3</v>
      </c>
      <c r="U126" s="311">
        <f t="shared" ca="1" si="59"/>
        <v>-9.3188398114341098E-3</v>
      </c>
      <c r="V126" s="311">
        <f t="shared" ca="1" si="59"/>
        <v>-9.1011045541433688E-3</v>
      </c>
      <c r="W126" s="311">
        <f t="shared" ca="1" si="59"/>
        <v>-8.9289542744341865E-3</v>
      </c>
      <c r="X126" s="26">
        <f t="shared" ca="1" si="59"/>
        <v>-8.8168259421483874E-3</v>
      </c>
    </row>
    <row r="127" spans="2:24" s="54" customFormat="1" ht="15" customHeight="1" x14ac:dyDescent="0.25">
      <c r="B127" s="56" t="s">
        <v>325</v>
      </c>
      <c r="C127" s="292"/>
      <c r="N127" s="204"/>
      <c r="O127" s="204"/>
      <c r="P127" s="295"/>
      <c r="Q127" s="295"/>
      <c r="R127" s="295"/>
      <c r="S127" s="295"/>
      <c r="T127" s="295"/>
      <c r="U127" s="295"/>
      <c r="V127" s="295"/>
      <c r="W127" s="295"/>
      <c r="X127" s="300"/>
    </row>
    <row r="128" spans="2:24" s="54" customFormat="1" ht="15" customHeight="1" x14ac:dyDescent="0.25">
      <c r="B128" s="333" t="s">
        <v>340</v>
      </c>
      <c r="C128" s="292" t="s">
        <v>34</v>
      </c>
      <c r="N128" s="204"/>
      <c r="O128" s="204"/>
      <c r="P128" s="52">
        <f>(P73/P46-1)*100</f>
        <v>7.2005595603186201E-2</v>
      </c>
      <c r="Q128" s="52">
        <f t="shared" ref="Q128:X128" si="60">(Q73/Q46-1)*100</f>
        <v>7.3219525068957125E-2</v>
      </c>
      <c r="R128" s="52">
        <f t="shared" si="60"/>
        <v>7.4713580517626887E-2</v>
      </c>
      <c r="S128" s="52">
        <f t="shared" si="60"/>
        <v>7.5727695926874894E-2</v>
      </c>
      <c r="T128" s="52">
        <f t="shared" si="60"/>
        <v>7.7378016832296836E-2</v>
      </c>
      <c r="U128" s="52">
        <f t="shared" si="60"/>
        <v>7.9853775184712816E-2</v>
      </c>
      <c r="V128" s="52">
        <f t="shared" si="60"/>
        <v>8.1488476940405619E-2</v>
      </c>
      <c r="W128" s="52">
        <f t="shared" si="60"/>
        <v>8.2998569558823121E-2</v>
      </c>
      <c r="X128" s="207">
        <f t="shared" si="60"/>
        <v>8.4419718763117935E-2</v>
      </c>
    </row>
    <row r="129" spans="2:24" s="54" customFormat="1" ht="15" customHeight="1" x14ac:dyDescent="0.25">
      <c r="B129" s="333" t="s">
        <v>341</v>
      </c>
      <c r="C129" s="292" t="s">
        <v>34</v>
      </c>
      <c r="N129" s="204"/>
      <c r="O129" s="204"/>
      <c r="P129" s="52">
        <f t="shared" ref="P129:X129" si="61">(P74/P47-1)*100</f>
        <v>3.1620493966037166</v>
      </c>
      <c r="Q129" s="52">
        <f t="shared" si="61"/>
        <v>3.2892541842930667</v>
      </c>
      <c r="R129" s="52">
        <f t="shared" si="61"/>
        <v>3.3395877216940706</v>
      </c>
      <c r="S129" s="52">
        <f t="shared" si="61"/>
        <v>3.3827440124086561</v>
      </c>
      <c r="T129" s="52">
        <f t="shared" si="61"/>
        <v>3.4301282528439447</v>
      </c>
      <c r="U129" s="52">
        <f t="shared" si="61"/>
        <v>2.4885151877344969</v>
      </c>
      <c r="V129" s="52">
        <f t="shared" si="61"/>
        <v>2.5296842708037559</v>
      </c>
      <c r="W129" s="52">
        <f t="shared" si="61"/>
        <v>2.5672652947777541</v>
      </c>
      <c r="X129" s="207">
        <f t="shared" si="61"/>
        <v>2.5999321825158184</v>
      </c>
    </row>
    <row r="130" spans="2:24" s="54" customFormat="1" ht="15" customHeight="1" x14ac:dyDescent="0.25">
      <c r="B130" s="333" t="s">
        <v>342</v>
      </c>
      <c r="C130" s="292" t="s">
        <v>34</v>
      </c>
      <c r="N130" s="204"/>
      <c r="O130" s="204"/>
      <c r="P130" s="52">
        <f t="shared" ref="P130:X130" si="62">(P75/P48-1)*100</f>
        <v>1.6855885845147078</v>
      </c>
      <c r="Q130" s="52">
        <f t="shared" si="62"/>
        <v>1.7463024883150879</v>
      </c>
      <c r="R130" s="52">
        <f t="shared" si="62"/>
        <v>1.8210177417133266</v>
      </c>
      <c r="S130" s="52">
        <f t="shared" si="62"/>
        <v>1.8865933911470734</v>
      </c>
      <c r="T130" s="52">
        <f t="shared" si="62"/>
        <v>1.9707471629454743</v>
      </c>
      <c r="U130" s="52">
        <f t="shared" si="62"/>
        <v>4.1591517882729523</v>
      </c>
      <c r="V130" s="52">
        <f t="shared" si="62"/>
        <v>4.3405466579533591</v>
      </c>
      <c r="W130" s="52">
        <f t="shared" si="62"/>
        <v>4.5219762080489723</v>
      </c>
      <c r="X130" s="207">
        <f t="shared" si="62"/>
        <v>4.7052202189950876</v>
      </c>
    </row>
    <row r="131" spans="2:24" s="54" customFormat="1" ht="15" customHeight="1" x14ac:dyDescent="0.25">
      <c r="B131" s="333" t="s">
        <v>345</v>
      </c>
      <c r="C131" s="292" t="s">
        <v>34</v>
      </c>
      <c r="N131" s="204"/>
      <c r="O131" s="204"/>
      <c r="P131" s="52">
        <f t="shared" ref="P131:X131" si="63">(P76/P49-1)*100</f>
        <v>0.59267787104970715</v>
      </c>
      <c r="Q131" s="52">
        <f t="shared" si="63"/>
        <v>0.60503201862318612</v>
      </c>
      <c r="R131" s="52">
        <f t="shared" si="63"/>
        <v>0.61712229345334269</v>
      </c>
      <c r="S131" s="52">
        <f t="shared" si="63"/>
        <v>0.62566519048630198</v>
      </c>
      <c r="T131" s="52">
        <f t="shared" si="63"/>
        <v>0.63876051719278237</v>
      </c>
      <c r="U131" s="52">
        <f t="shared" si="63"/>
        <v>0.5272037320972478</v>
      </c>
      <c r="V131" s="52">
        <f t="shared" si="63"/>
        <v>0.53785501123253532</v>
      </c>
      <c r="W131" s="52">
        <f t="shared" si="63"/>
        <v>0.54769536953662712</v>
      </c>
      <c r="X131" s="207">
        <f t="shared" si="63"/>
        <v>0.55687596640474624</v>
      </c>
    </row>
    <row r="132" spans="2:24" s="54" customFormat="1" ht="15" customHeight="1" x14ac:dyDescent="0.25">
      <c r="B132" s="333" t="s">
        <v>344</v>
      </c>
      <c r="C132" s="292" t="s">
        <v>34</v>
      </c>
      <c r="N132" s="204"/>
      <c r="O132" s="204"/>
      <c r="P132" s="52">
        <f t="shared" ref="P132:X132" ca="1" si="64">(P77/P50-1)*100</f>
        <v>2.7930755925886785E-3</v>
      </c>
      <c r="Q132" s="52">
        <f t="shared" ca="1" si="64"/>
        <v>1.1089507724326708E-3</v>
      </c>
      <c r="R132" s="52">
        <f t="shared" ca="1" si="64"/>
        <v>7.8078270715487008E-5</v>
      </c>
      <c r="S132" s="52">
        <f t="shared" ca="1" si="64"/>
        <v>-5.8680065428973194E-4</v>
      </c>
      <c r="T132" s="52">
        <f t="shared" ca="1" si="64"/>
        <v>-1.0467997806795637E-3</v>
      </c>
      <c r="U132" s="52">
        <f t="shared" ca="1" si="64"/>
        <v>-3.3808905586130145E-3</v>
      </c>
      <c r="V132" s="52">
        <f t="shared" ca="1" si="64"/>
        <v>-3.4245539088484378E-3</v>
      </c>
      <c r="W132" s="52">
        <f t="shared" ca="1" si="64"/>
        <v>-3.495740890502308E-3</v>
      </c>
      <c r="X132" s="207">
        <f t="shared" ca="1" si="64"/>
        <v>-3.581942591424081E-3</v>
      </c>
    </row>
    <row r="133" spans="2:24" s="54" customFormat="1" ht="15" customHeight="1" x14ac:dyDescent="0.25">
      <c r="B133" s="333" t="s">
        <v>362</v>
      </c>
      <c r="C133" s="292" t="s">
        <v>34</v>
      </c>
      <c r="N133" s="204"/>
      <c r="O133" s="204"/>
      <c r="P133" s="52">
        <f t="shared" ref="P133:X133" ca="1" si="65">(P78/P51-1)*100</f>
        <v>1.3892917420421647E-2</v>
      </c>
      <c r="Q133" s="52">
        <f t="shared" ca="1" si="65"/>
        <v>1.1249654273881582E-2</v>
      </c>
      <c r="R133" s="52">
        <f t="shared" ca="1" si="65"/>
        <v>9.1875322001166992E-3</v>
      </c>
      <c r="S133" s="52">
        <f t="shared" ca="1" si="65"/>
        <v>8.143485297584796E-3</v>
      </c>
      <c r="T133" s="52">
        <f t="shared" ca="1" si="65"/>
        <v>6.972726527543216E-3</v>
      </c>
      <c r="U133" s="52">
        <f t="shared" ca="1" si="65"/>
        <v>3.4792434109953696E-2</v>
      </c>
      <c r="V133" s="52">
        <f t="shared" ca="1" si="65"/>
        <v>3.5715896157295646E-2</v>
      </c>
      <c r="W133" s="52">
        <f t="shared" ca="1" si="65"/>
        <v>3.7517975858269992E-2</v>
      </c>
      <c r="X133" s="207">
        <f t="shared" ca="1" si="65"/>
        <v>3.9467118330316353E-2</v>
      </c>
    </row>
    <row r="134" spans="2:24" s="242" customFormat="1" ht="15" customHeight="1" x14ac:dyDescent="0.25">
      <c r="B134" s="429" t="s">
        <v>364</v>
      </c>
      <c r="C134" s="430" t="s">
        <v>34</v>
      </c>
      <c r="N134" s="425"/>
      <c r="O134" s="425"/>
      <c r="P134" s="426">
        <f t="shared" ref="P134:X134" ca="1" si="66">(P79/P52-1)*100</f>
        <v>4.4174243152061976E-3</v>
      </c>
      <c r="Q134" s="426">
        <f t="shared" ca="1" si="66"/>
        <v>2.6577693549745263E-3</v>
      </c>
      <c r="R134" s="426">
        <f t="shared" ca="1" si="66"/>
        <v>1.5534269882433449E-3</v>
      </c>
      <c r="S134" s="426">
        <f t="shared" ca="1" si="66"/>
        <v>8.5063182528877235E-4</v>
      </c>
      <c r="T134" s="426">
        <f t="shared" ca="1" si="66"/>
        <v>3.4287396313281704E-4</v>
      </c>
      <c r="U134" s="426">
        <f t="shared" ca="1" si="66"/>
        <v>-3.894552346617175E-4</v>
      </c>
      <c r="V134" s="426">
        <f t="shared" ca="1" si="66"/>
        <v>-4.3824107264223144E-4</v>
      </c>
      <c r="W134" s="426">
        <f t="shared" ca="1" si="66"/>
        <v>-4.6750501733194838E-4</v>
      </c>
      <c r="X134" s="428">
        <f t="shared" ca="1" si="66"/>
        <v>-5.0652604635104126E-4</v>
      </c>
    </row>
    <row r="135" spans="2:24" x14ac:dyDescent="0.25">
      <c r="O135" s="8"/>
      <c r="X135" s="8"/>
    </row>
    <row r="136" spans="2:24" x14ac:dyDescent="0.25">
      <c r="O136" s="8"/>
      <c r="X136" s="8"/>
    </row>
  </sheetData>
  <mergeCells count="2">
    <mergeCell ref="P13:T13"/>
    <mergeCell ref="U13:X13"/>
  </mergeCells>
  <pageMargins left="0.7" right="0.7" top="0.75" bottom="0.75" header="0.3" footer="0.3"/>
  <pageSetup paperSize="9" orientation="portrait" r:id="rId1"/>
  <ignoredErrors>
    <ignoredError sqref="P104:X104"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Z139"/>
  <sheetViews>
    <sheetView topLeftCell="A8" workbookViewId="0">
      <selection activeCell="B8" sqref="B8"/>
    </sheetView>
  </sheetViews>
  <sheetFormatPr defaultRowHeight="15" x14ac:dyDescent="0.25"/>
  <cols>
    <col min="1" max="1" width="2" style="2" customWidth="1"/>
    <col min="2" max="2" width="48.42578125" style="2" customWidth="1"/>
    <col min="3" max="3" width="13.140625" style="2" customWidth="1"/>
    <col min="4" max="6" width="9.140625" style="2" hidden="1" customWidth="1"/>
    <col min="7" max="7" width="10.5703125" style="2" hidden="1" customWidth="1"/>
    <col min="8" max="8" width="10.28515625" style="2" hidden="1" customWidth="1"/>
    <col min="9" max="9" width="10.5703125" style="2" hidden="1" customWidth="1"/>
    <col min="10" max="11" width="10.28515625" style="2" hidden="1" customWidth="1"/>
    <col min="12" max="13" width="11" style="2" hidden="1" customWidth="1"/>
    <col min="14" max="14" width="11.42578125" style="2" hidden="1" customWidth="1"/>
    <col min="15" max="15" width="10.7109375" style="2" customWidth="1"/>
    <col min="16" max="16" width="11.42578125" style="2" customWidth="1"/>
    <col min="17" max="17" width="10.28515625" style="2" customWidth="1"/>
    <col min="18" max="18" width="10.85546875" style="2" customWidth="1"/>
    <col min="19" max="19" width="10.140625" style="2" customWidth="1"/>
    <col min="20" max="20" width="10.28515625" style="2" customWidth="1"/>
    <col min="21" max="21" width="10.140625" style="2" customWidth="1"/>
    <col min="22" max="22" width="11.42578125" style="2" customWidth="1"/>
    <col min="23" max="23" width="9.5703125" style="2" customWidth="1"/>
    <col min="24" max="24" width="9.85546875" style="2" customWidth="1"/>
    <col min="25" max="16384" width="9.140625" style="2"/>
  </cols>
  <sheetData>
    <row r="1" spans="2:24" x14ac:dyDescent="0.25">
      <c r="M1" s="7"/>
      <c r="N1" s="7"/>
      <c r="O1" s="7"/>
    </row>
    <row r="2" spans="2:24" x14ac:dyDescent="0.25">
      <c r="M2" s="7"/>
      <c r="N2" s="7"/>
      <c r="O2" s="7"/>
    </row>
    <row r="3" spans="2:24" x14ac:dyDescent="0.25">
      <c r="M3" s="7"/>
      <c r="N3" s="7"/>
      <c r="O3" s="7"/>
    </row>
    <row r="4" spans="2:24" x14ac:dyDescent="0.25">
      <c r="M4" s="7"/>
      <c r="N4" s="7"/>
      <c r="O4" s="7"/>
    </row>
    <row r="5" spans="2:24" x14ac:dyDescent="0.25">
      <c r="M5" s="7"/>
      <c r="N5" s="7"/>
      <c r="O5" s="7"/>
    </row>
    <row r="6" spans="2:24" x14ac:dyDescent="0.25">
      <c r="M6" s="7"/>
      <c r="N6" s="7"/>
      <c r="O6" s="7"/>
    </row>
    <row r="7" spans="2:24" ht="20.25" x14ac:dyDescent="0.3">
      <c r="B7" s="1" t="str">
        <f>Index!B7</f>
        <v>Economic effects of fiscal support for the NSW GREYHOUND racing industry: DRAFT</v>
      </c>
      <c r="C7" s="1"/>
      <c r="M7" s="7"/>
      <c r="N7" s="7"/>
      <c r="O7" s="7"/>
    </row>
    <row r="8" spans="2:24" ht="23.25" customHeight="1" x14ac:dyDescent="0.25">
      <c r="B8" s="3" t="s">
        <v>257</v>
      </c>
      <c r="M8" s="7"/>
      <c r="N8" s="7"/>
      <c r="O8" s="7"/>
    </row>
    <row r="9" spans="2:24" s="7" customFormat="1" ht="18" x14ac:dyDescent="0.25">
      <c r="C9" s="205"/>
    </row>
    <row r="10" spans="2:24" x14ac:dyDescent="0.25">
      <c r="L10" s="12"/>
      <c r="M10" s="12"/>
      <c r="N10" s="12"/>
      <c r="O10" s="12"/>
      <c r="P10" s="12"/>
      <c r="Q10" s="12"/>
      <c r="R10" s="12"/>
      <c r="S10" s="12"/>
      <c r="T10" s="12"/>
      <c r="U10" s="12"/>
      <c r="V10" s="12"/>
      <c r="W10" s="12"/>
      <c r="X10" s="12"/>
    </row>
    <row r="11" spans="2:24" x14ac:dyDescent="0.25">
      <c r="B11" s="299" t="s">
        <v>260</v>
      </c>
      <c r="C11" s="298"/>
      <c r="D11" s="281" t="s">
        <v>13</v>
      </c>
      <c r="E11" s="281" t="s">
        <v>14</v>
      </c>
      <c r="F11" s="281" t="s">
        <v>15</v>
      </c>
      <c r="G11" s="281" t="s">
        <v>16</v>
      </c>
      <c r="H11" s="281" t="s">
        <v>17</v>
      </c>
      <c r="I11" s="281" t="s">
        <v>18</v>
      </c>
      <c r="J11" s="281" t="s">
        <v>19</v>
      </c>
      <c r="K11" s="281" t="s">
        <v>20</v>
      </c>
      <c r="L11" s="282" t="s">
        <v>21</v>
      </c>
      <c r="M11" s="282" t="s">
        <v>11</v>
      </c>
      <c r="N11" s="283" t="s">
        <v>8</v>
      </c>
      <c r="O11" s="518" t="s">
        <v>22</v>
      </c>
      <c r="P11" s="420" t="s">
        <v>23</v>
      </c>
      <c r="Q11" s="420" t="s">
        <v>24</v>
      </c>
      <c r="R11" s="420" t="s">
        <v>25</v>
      </c>
      <c r="S11" s="420" t="s">
        <v>26</v>
      </c>
      <c r="T11" s="420" t="s">
        <v>27</v>
      </c>
      <c r="U11" s="420" t="s">
        <v>28</v>
      </c>
      <c r="V11" s="420" t="s">
        <v>29</v>
      </c>
      <c r="W11" s="420" t="s">
        <v>30</v>
      </c>
      <c r="X11" s="421" t="s">
        <v>31</v>
      </c>
    </row>
    <row r="12" spans="2:24" s="18" customFormat="1" ht="12.75" x14ac:dyDescent="0.2">
      <c r="B12" s="31" t="s">
        <v>146</v>
      </c>
      <c r="C12" s="254"/>
      <c r="D12" s="169"/>
      <c r="E12" s="169"/>
      <c r="F12" s="169"/>
      <c r="G12" s="169"/>
      <c r="H12" s="169"/>
      <c r="I12" s="169"/>
      <c r="J12" s="169"/>
      <c r="K12" s="169"/>
      <c r="L12" s="169"/>
      <c r="M12" s="288"/>
      <c r="N12" s="289">
        <f>100/1.5*N18</f>
        <v>637.58506666666676</v>
      </c>
      <c r="O12" s="519">
        <f>N12*(1+1.1/100)</f>
        <v>644.59850240000003</v>
      </c>
      <c r="P12" s="288">
        <f t="shared" ref="P12:X12" si="0">O12*(1+1.1/100)</f>
        <v>651.68908592639991</v>
      </c>
      <c r="Q12" s="288">
        <f t="shared" si="0"/>
        <v>658.85766587159026</v>
      </c>
      <c r="R12" s="288">
        <f t="shared" si="0"/>
        <v>666.10510019617766</v>
      </c>
      <c r="S12" s="288">
        <f t="shared" si="0"/>
        <v>673.43225629833557</v>
      </c>
      <c r="T12" s="288">
        <f t="shared" si="0"/>
        <v>680.84001111761722</v>
      </c>
      <c r="U12" s="288">
        <f t="shared" si="0"/>
        <v>688.32925123991095</v>
      </c>
      <c r="V12" s="288">
        <f t="shared" si="0"/>
        <v>695.90087300354992</v>
      </c>
      <c r="W12" s="288">
        <f t="shared" si="0"/>
        <v>703.55578260658888</v>
      </c>
      <c r="X12" s="289">
        <f t="shared" si="0"/>
        <v>711.29489621526125</v>
      </c>
    </row>
    <row r="13" spans="2:24" s="18" customFormat="1" ht="12.75" x14ac:dyDescent="0.2">
      <c r="B13" s="280" t="s">
        <v>258</v>
      </c>
      <c r="C13" s="24"/>
      <c r="D13" s="40"/>
      <c r="E13" s="40"/>
      <c r="F13" s="40"/>
      <c r="G13" s="40"/>
      <c r="H13" s="40"/>
      <c r="I13" s="40"/>
      <c r="J13" s="40"/>
      <c r="K13" s="40"/>
      <c r="L13" s="40"/>
      <c r="M13" s="36"/>
      <c r="N13" s="402">
        <f>N12*1.5%</f>
        <v>9.5637760000000007</v>
      </c>
      <c r="O13" s="520">
        <f>O12*1.5%</f>
        <v>9.6689775359999999</v>
      </c>
      <c r="P13" s="36">
        <f t="shared" ref="P13:X13" si="1">P12*1.5%</f>
        <v>9.775336288895998</v>
      </c>
      <c r="Q13" s="36">
        <f t="shared" si="1"/>
        <v>9.8828649880738535</v>
      </c>
      <c r="R13" s="36">
        <f t="shared" si="1"/>
        <v>9.9915765029426638</v>
      </c>
      <c r="S13" s="36">
        <f t="shared" si="1"/>
        <v>10.101483844475034</v>
      </c>
      <c r="T13" s="36">
        <f t="shared" si="1"/>
        <v>10.212600166764258</v>
      </c>
      <c r="U13" s="36">
        <f t="shared" si="1"/>
        <v>10.324938768598663</v>
      </c>
      <c r="V13" s="36">
        <f t="shared" si="1"/>
        <v>10.438513095053249</v>
      </c>
      <c r="W13" s="36">
        <f t="shared" si="1"/>
        <v>10.553336739098834</v>
      </c>
      <c r="X13" s="27">
        <f t="shared" si="1"/>
        <v>10.669423443228919</v>
      </c>
    </row>
    <row r="14" spans="2:24" s="18" customFormat="1" ht="12.75" x14ac:dyDescent="0.2">
      <c r="B14" s="94" t="s">
        <v>259</v>
      </c>
      <c r="C14" s="189"/>
      <c r="D14" s="37"/>
      <c r="E14" s="285"/>
      <c r="F14" s="285"/>
      <c r="G14" s="285"/>
      <c r="H14" s="285"/>
      <c r="I14" s="285"/>
      <c r="J14" s="285"/>
      <c r="K14" s="285"/>
      <c r="L14" s="285"/>
      <c r="M14" s="285"/>
      <c r="N14" s="403">
        <f t="shared" ref="N14:O14" si="2">(15+N13)/N13*1.5%</f>
        <v>3.8526272468113014E-2</v>
      </c>
      <c r="O14" s="521">
        <f t="shared" si="2"/>
        <v>3.8270299177164201E-2</v>
      </c>
      <c r="P14" s="285">
        <f t="shared" ref="P14" si="3">(15+P13)/P13*1.5%</f>
        <v>3.8017110956641162E-2</v>
      </c>
      <c r="Q14" s="285">
        <f t="shared" ref="Q14" si="4">(15+Q13)/Q13*1.5%</f>
        <v>3.7766677504096104E-2</v>
      </c>
      <c r="R14" s="285">
        <f t="shared" ref="R14" si="5">(15+R13)/R13*1.5%</f>
        <v>3.7518968846781513E-2</v>
      </c>
      <c r="S14" s="285">
        <f t="shared" ref="S14" si="6">(15+S13)/S13*1.5%</f>
        <v>3.7273955338062818E-2</v>
      </c>
      <c r="T14" s="285">
        <f t="shared" ref="T14" si="7">(15+T13)/T13*1.5%</f>
        <v>3.7031607653870244E-2</v>
      </c>
      <c r="U14" s="285">
        <f t="shared" ref="U14" si="8">(15+U13)/U13*1.5%</f>
        <v>3.679189678918917E-2</v>
      </c>
      <c r="V14" s="285">
        <f t="shared" ref="V14" si="9">(15+V13)/V13*1.5%</f>
        <v>3.6554794054588689E-2</v>
      </c>
      <c r="W14" s="285">
        <f t="shared" ref="W14" si="10">(15+W13)/W13*1.5%</f>
        <v>3.6320271072788027E-2</v>
      </c>
      <c r="X14" s="403">
        <f t="shared" ref="X14" si="11">(15+X13)/X13*1.5%</f>
        <v>3.6088299775260173E-2</v>
      </c>
    </row>
    <row r="15" spans="2:24" ht="20.25" customHeight="1" x14ac:dyDescent="0.25">
      <c r="B15" s="32" t="s">
        <v>357</v>
      </c>
      <c r="C15" s="44"/>
      <c r="D15" s="43"/>
      <c r="E15" s="43"/>
      <c r="F15" s="43"/>
      <c r="G15" s="43"/>
      <c r="H15" s="43"/>
      <c r="I15" s="43"/>
      <c r="J15" s="43"/>
      <c r="K15" s="43"/>
      <c r="L15" s="43"/>
      <c r="M15" s="288"/>
      <c r="N15" s="289">
        <f>N12*N14</f>
        <v>24.563776000000004</v>
      </c>
      <c r="O15" s="519">
        <f t="shared" ref="O15:X15" si="12">O12*O14</f>
        <v>24.668977535999996</v>
      </c>
      <c r="P15" s="288">
        <f t="shared" si="12"/>
        <v>24.775336288896003</v>
      </c>
      <c r="Q15" s="288">
        <f t="shared" si="12"/>
        <v>24.882864988073855</v>
      </c>
      <c r="R15" s="288">
        <f t="shared" si="12"/>
        <v>24.991576502942667</v>
      </c>
      <c r="S15" s="288">
        <f t="shared" si="12"/>
        <v>25.101483844475034</v>
      </c>
      <c r="T15" s="288">
        <f t="shared" si="12"/>
        <v>25.212600166764254</v>
      </c>
      <c r="U15" s="288">
        <f t="shared" si="12"/>
        <v>25.324938768598663</v>
      </c>
      <c r="V15" s="288">
        <f t="shared" si="12"/>
        <v>25.438513095053246</v>
      </c>
      <c r="W15" s="288">
        <f t="shared" si="12"/>
        <v>25.553336739098832</v>
      </c>
      <c r="X15" s="289">
        <f t="shared" si="12"/>
        <v>25.669423443228922</v>
      </c>
    </row>
    <row r="16" spans="2:24" ht="12" customHeight="1" x14ac:dyDescent="0.25">
      <c r="B16" s="35"/>
      <c r="C16" s="7"/>
      <c r="D16" s="7"/>
      <c r="E16" s="7"/>
      <c r="F16" s="7"/>
      <c r="G16" s="7"/>
      <c r="H16" s="7"/>
      <c r="I16" s="7"/>
      <c r="J16" s="7"/>
      <c r="K16" s="7"/>
      <c r="L16" s="7"/>
      <c r="M16" s="36"/>
      <c r="N16" s="27"/>
      <c r="O16" s="520"/>
      <c r="P16" s="36"/>
      <c r="Q16" s="36"/>
      <c r="R16" s="36"/>
      <c r="S16" s="36"/>
      <c r="T16" s="36"/>
      <c r="U16" s="36"/>
      <c r="V16" s="36"/>
      <c r="W16" s="36"/>
      <c r="X16" s="27"/>
    </row>
    <row r="17" spans="2:24" ht="12" customHeight="1" x14ac:dyDescent="0.25">
      <c r="B17" s="404" t="s">
        <v>360</v>
      </c>
      <c r="C17" s="7"/>
      <c r="D17" s="7"/>
      <c r="E17" s="7"/>
      <c r="F17" s="7"/>
      <c r="G17" s="7"/>
      <c r="H17" s="7"/>
      <c r="I17" s="7"/>
      <c r="J17" s="7"/>
      <c r="K17" s="7"/>
      <c r="L17" s="7"/>
      <c r="M17" s="36"/>
      <c r="N17" s="27"/>
      <c r="O17" s="520"/>
      <c r="P17" s="36"/>
      <c r="Q17" s="36"/>
      <c r="R17" s="36"/>
      <c r="S17" s="36"/>
      <c r="T17" s="36"/>
      <c r="U17" s="36"/>
      <c r="V17" s="36"/>
      <c r="W17" s="36"/>
      <c r="X17" s="27"/>
    </row>
    <row r="18" spans="2:24" ht="12" customHeight="1" x14ac:dyDescent="0.25">
      <c r="B18" s="35" t="s">
        <v>358</v>
      </c>
      <c r="C18" s="7"/>
      <c r="D18" s="7"/>
      <c r="E18" s="7"/>
      <c r="F18" s="7"/>
      <c r="G18" s="7"/>
      <c r="H18" s="7"/>
      <c r="I18" s="7"/>
      <c r="J18" s="7"/>
      <c r="K18" s="7"/>
      <c r="L18" s="7"/>
      <c r="M18" s="36"/>
      <c r="N18" s="410">
        <v>9.5637760000000007</v>
      </c>
      <c r="O18" s="520">
        <f>O13</f>
        <v>9.6689775359999999</v>
      </c>
      <c r="P18" s="36">
        <f t="shared" ref="P18:X18" si="13">P13</f>
        <v>9.775336288895998</v>
      </c>
      <c r="Q18" s="36">
        <f t="shared" si="13"/>
        <v>9.8828649880738535</v>
      </c>
      <c r="R18" s="36">
        <f t="shared" si="13"/>
        <v>9.9915765029426638</v>
      </c>
      <c r="S18" s="36">
        <f t="shared" si="13"/>
        <v>10.101483844475034</v>
      </c>
      <c r="T18" s="36">
        <f t="shared" si="13"/>
        <v>10.212600166764258</v>
      </c>
      <c r="U18" s="36">
        <f t="shared" si="13"/>
        <v>10.324938768598663</v>
      </c>
      <c r="V18" s="36">
        <f t="shared" si="13"/>
        <v>10.438513095053249</v>
      </c>
      <c r="W18" s="36">
        <f t="shared" si="13"/>
        <v>10.553336739098834</v>
      </c>
      <c r="X18" s="27">
        <f t="shared" si="13"/>
        <v>10.669423443228919</v>
      </c>
    </row>
    <row r="19" spans="2:24" ht="15.75" customHeight="1" x14ac:dyDescent="0.25">
      <c r="B19" s="620" t="s">
        <v>359</v>
      </c>
      <c r="C19" s="621"/>
      <c r="D19" s="621"/>
      <c r="E19" s="621"/>
      <c r="F19" s="621"/>
      <c r="G19" s="621"/>
      <c r="H19" s="621"/>
      <c r="I19" s="621"/>
      <c r="J19" s="621"/>
      <c r="K19" s="621"/>
      <c r="L19" s="621"/>
      <c r="M19" s="622"/>
      <c r="N19" s="623">
        <f>15.079634</f>
        <v>15.079634</v>
      </c>
      <c r="O19" s="624">
        <f>O15-O18</f>
        <v>14.999999999999996</v>
      </c>
      <c r="P19" s="622">
        <f t="shared" ref="P19:X19" si="14">P15-P18</f>
        <v>15.000000000000005</v>
      </c>
      <c r="Q19" s="622">
        <f t="shared" si="14"/>
        <v>15.000000000000002</v>
      </c>
      <c r="R19" s="622">
        <f t="shared" si="14"/>
        <v>15.000000000000004</v>
      </c>
      <c r="S19" s="622">
        <f t="shared" si="14"/>
        <v>15</v>
      </c>
      <c r="T19" s="622">
        <f t="shared" si="14"/>
        <v>14.999999999999996</v>
      </c>
      <c r="U19" s="622">
        <f t="shared" si="14"/>
        <v>15</v>
      </c>
      <c r="V19" s="622">
        <f t="shared" si="14"/>
        <v>14.999999999999996</v>
      </c>
      <c r="W19" s="622">
        <f t="shared" si="14"/>
        <v>14.999999999999998</v>
      </c>
      <c r="X19" s="625">
        <f t="shared" si="14"/>
        <v>15.000000000000004</v>
      </c>
    </row>
    <row r="20" spans="2:24" ht="15" customHeight="1" x14ac:dyDescent="0.25">
      <c r="B20" s="21" t="s">
        <v>415</v>
      </c>
      <c r="C20" s="12"/>
      <c r="D20" s="12"/>
      <c r="E20" s="12"/>
      <c r="F20" s="12"/>
      <c r="G20" s="12"/>
      <c r="H20" s="12"/>
      <c r="I20" s="12"/>
      <c r="J20" s="12"/>
      <c r="K20" s="12"/>
      <c r="L20" s="12"/>
      <c r="M20" s="422"/>
      <c r="N20" s="491">
        <f>N19-N18</f>
        <v>5.5158579999999997</v>
      </c>
      <c r="O20" s="522">
        <f>O19-O18</f>
        <v>5.3310224639999966</v>
      </c>
      <c r="P20" s="422">
        <f t="shared" ref="P20:X20" si="15">P19-P18</f>
        <v>5.2246637111040073</v>
      </c>
      <c r="Q20" s="422">
        <f t="shared" si="15"/>
        <v>5.1171350119261483</v>
      </c>
      <c r="R20" s="422">
        <f t="shared" si="15"/>
        <v>5.0084234970573398</v>
      </c>
      <c r="S20" s="422">
        <f t="shared" si="15"/>
        <v>4.8985161555249661</v>
      </c>
      <c r="T20" s="422">
        <f t="shared" si="15"/>
        <v>4.7873998332357388</v>
      </c>
      <c r="U20" s="422">
        <f t="shared" si="15"/>
        <v>4.6750612314013367</v>
      </c>
      <c r="V20" s="422">
        <f t="shared" si="15"/>
        <v>4.5614869049467472</v>
      </c>
      <c r="W20" s="422">
        <f t="shared" si="15"/>
        <v>4.4466632609011647</v>
      </c>
      <c r="X20" s="423">
        <f t="shared" si="15"/>
        <v>4.330576556771085</v>
      </c>
    </row>
    <row r="21" spans="2:24" ht="20.25" customHeight="1" x14ac:dyDescent="0.25">
      <c r="B21" s="35" t="s">
        <v>413</v>
      </c>
      <c r="C21" s="7"/>
      <c r="D21" s="7"/>
      <c r="E21" s="7"/>
      <c r="F21" s="7"/>
      <c r="G21" s="7"/>
      <c r="H21" s="7"/>
      <c r="I21" s="7"/>
      <c r="J21" s="7"/>
      <c r="K21" s="7"/>
      <c r="L21" s="7"/>
      <c r="M21" s="36"/>
      <c r="N21" s="27"/>
      <c r="O21" s="520"/>
      <c r="P21" s="36"/>
      <c r="Q21" s="36"/>
      <c r="R21" s="36"/>
      <c r="S21" s="36"/>
      <c r="T21" s="36"/>
      <c r="U21" s="36"/>
      <c r="V21" s="36"/>
      <c r="W21" s="36"/>
      <c r="X21" s="36"/>
    </row>
    <row r="22" spans="2:24" ht="12.75" customHeight="1" x14ac:dyDescent="0.25">
      <c r="B22" s="35" t="s">
        <v>414</v>
      </c>
      <c r="C22" s="7"/>
      <c r="D22" s="7"/>
      <c r="E22" s="7"/>
      <c r="F22" s="7"/>
      <c r="G22" s="7"/>
      <c r="H22" s="7"/>
      <c r="I22" s="7"/>
      <c r="J22" s="7"/>
      <c r="K22" s="7"/>
      <c r="L22" s="7"/>
      <c r="M22" s="36"/>
      <c r="N22" s="27"/>
      <c r="O22" s="520"/>
      <c r="P22" s="36"/>
      <c r="Q22" s="36"/>
      <c r="R22" s="36"/>
      <c r="S22" s="36"/>
      <c r="T22" s="36"/>
      <c r="U22" s="36"/>
      <c r="V22" s="36"/>
      <c r="W22" s="36"/>
      <c r="X22" s="36"/>
    </row>
    <row r="23" spans="2:24" x14ac:dyDescent="0.25">
      <c r="M23" s="7"/>
      <c r="N23" s="8"/>
      <c r="O23" s="234"/>
    </row>
    <row r="24" spans="2:24" x14ac:dyDescent="0.25">
      <c r="N24" s="8"/>
      <c r="O24" s="235"/>
    </row>
    <row r="25" spans="2:24" x14ac:dyDescent="0.25">
      <c r="B25" s="43"/>
      <c r="C25" s="44"/>
      <c r="D25" s="281" t="s">
        <v>13</v>
      </c>
      <c r="E25" s="281" t="s">
        <v>14</v>
      </c>
      <c r="F25" s="281" t="s">
        <v>15</v>
      </c>
      <c r="G25" s="281" t="s">
        <v>16</v>
      </c>
      <c r="H25" s="281" t="s">
        <v>17</v>
      </c>
      <c r="I25" s="281" t="s">
        <v>18</v>
      </c>
      <c r="J25" s="281" t="s">
        <v>19</v>
      </c>
      <c r="K25" s="281" t="s">
        <v>20</v>
      </c>
      <c r="L25" s="281" t="s">
        <v>21</v>
      </c>
      <c r="M25" s="281" t="s">
        <v>11</v>
      </c>
      <c r="N25" s="284" t="s">
        <v>8</v>
      </c>
      <c r="O25" s="433" t="s">
        <v>22</v>
      </c>
      <c r="P25" s="281" t="s">
        <v>23</v>
      </c>
      <c r="Q25" s="281" t="s">
        <v>24</v>
      </c>
      <c r="R25" s="281" t="s">
        <v>25</v>
      </c>
      <c r="S25" s="281" t="s">
        <v>26</v>
      </c>
      <c r="T25" s="281" t="s">
        <v>27</v>
      </c>
      <c r="U25" s="281" t="s">
        <v>28</v>
      </c>
      <c r="V25" s="281" t="s">
        <v>29</v>
      </c>
      <c r="W25" s="281" t="s">
        <v>30</v>
      </c>
      <c r="X25" s="284" t="s">
        <v>31</v>
      </c>
    </row>
    <row r="26" spans="2:24" x14ac:dyDescent="0.25">
      <c r="B26" s="295" t="s">
        <v>251</v>
      </c>
      <c r="C26" s="8"/>
      <c r="D26" s="304"/>
      <c r="E26" s="304"/>
      <c r="F26" s="304"/>
      <c r="G26" s="304"/>
      <c r="H26" s="304"/>
      <c r="I26" s="304"/>
      <c r="J26" s="304"/>
      <c r="K26" s="304"/>
      <c r="L26" s="304"/>
      <c r="M26" s="304"/>
      <c r="N26" s="305"/>
      <c r="O26" s="434"/>
      <c r="P26" s="306"/>
      <c r="Q26" s="306"/>
      <c r="R26" s="306"/>
      <c r="S26" s="306"/>
      <c r="T26" s="306"/>
      <c r="U26" s="306"/>
      <c r="V26" s="306"/>
      <c r="W26" s="306"/>
      <c r="X26" s="307"/>
    </row>
    <row r="27" spans="2:24" x14ac:dyDescent="0.25">
      <c r="B27" s="35" t="s">
        <v>248</v>
      </c>
      <c r="C27" s="24" t="s">
        <v>36</v>
      </c>
      <c r="D27" s="7"/>
      <c r="E27" s="7"/>
      <c r="F27" s="7"/>
      <c r="G27" s="7"/>
      <c r="H27" s="7"/>
      <c r="I27" s="7"/>
      <c r="J27" s="7"/>
      <c r="K27" s="7"/>
      <c r="L27" s="7"/>
      <c r="M27" s="7"/>
      <c r="N27" s="8"/>
      <c r="O27" s="234"/>
      <c r="P27" s="40">
        <f>P19</f>
        <v>15.000000000000005</v>
      </c>
      <c r="Q27" s="40">
        <f>Q19</f>
        <v>15.000000000000002</v>
      </c>
      <c r="R27" s="40">
        <f t="shared" ref="R27:X27" si="16">R19</f>
        <v>15.000000000000004</v>
      </c>
      <c r="S27" s="40">
        <f t="shared" si="16"/>
        <v>15</v>
      </c>
      <c r="T27" s="40">
        <f t="shared" si="16"/>
        <v>14.999999999999996</v>
      </c>
      <c r="U27" s="40">
        <f t="shared" si="16"/>
        <v>15</v>
      </c>
      <c r="V27" s="40">
        <f t="shared" si="16"/>
        <v>14.999999999999996</v>
      </c>
      <c r="W27" s="40">
        <f t="shared" si="16"/>
        <v>14.999999999999998</v>
      </c>
      <c r="X27" s="25">
        <f t="shared" si="16"/>
        <v>15.000000000000004</v>
      </c>
    </row>
    <row r="28" spans="2:24" x14ac:dyDescent="0.25">
      <c r="B28" s="21" t="s">
        <v>249</v>
      </c>
      <c r="C28" s="189" t="s">
        <v>36</v>
      </c>
      <c r="D28" s="12"/>
      <c r="E28" s="12"/>
      <c r="F28" s="12"/>
      <c r="G28" s="12"/>
      <c r="H28" s="12"/>
      <c r="I28" s="12"/>
      <c r="J28" s="12"/>
      <c r="K28" s="12"/>
      <c r="L28" s="12"/>
      <c r="M28" s="12"/>
      <c r="N28" s="13"/>
      <c r="O28" s="235"/>
      <c r="P28" s="37">
        <f>P27</f>
        <v>15.000000000000005</v>
      </c>
      <c r="Q28" s="37">
        <f t="shared" ref="Q28:X28" si="17">P28+Q27</f>
        <v>30.000000000000007</v>
      </c>
      <c r="R28" s="37">
        <f t="shared" si="17"/>
        <v>45.000000000000014</v>
      </c>
      <c r="S28" s="37">
        <f t="shared" si="17"/>
        <v>60.000000000000014</v>
      </c>
      <c r="T28" s="37">
        <f t="shared" si="17"/>
        <v>75.000000000000014</v>
      </c>
      <c r="U28" s="37">
        <f t="shared" si="17"/>
        <v>90.000000000000014</v>
      </c>
      <c r="V28" s="37">
        <f t="shared" si="17"/>
        <v>105.00000000000001</v>
      </c>
      <c r="W28" s="37">
        <f t="shared" si="17"/>
        <v>120.00000000000001</v>
      </c>
      <c r="X28" s="38">
        <f t="shared" si="17"/>
        <v>135.00000000000003</v>
      </c>
    </row>
    <row r="29" spans="2:24" ht="7.5" customHeight="1" x14ac:dyDescent="0.25">
      <c r="B29" s="35"/>
      <c r="C29" s="24"/>
      <c r="D29" s="7"/>
      <c r="E29" s="7"/>
      <c r="F29" s="7"/>
      <c r="G29" s="7"/>
      <c r="H29" s="7"/>
      <c r="I29" s="7"/>
      <c r="J29" s="7"/>
      <c r="K29" s="7"/>
      <c r="L29" s="7"/>
      <c r="M29" s="7"/>
      <c r="N29" s="8"/>
      <c r="O29" s="234"/>
      <c r="P29" s="35"/>
      <c r="Q29" s="35"/>
      <c r="R29" s="35"/>
      <c r="S29" s="35"/>
      <c r="T29" s="35"/>
      <c r="U29" s="35"/>
      <c r="V29" s="35"/>
      <c r="W29" s="35"/>
      <c r="X29" s="286"/>
    </row>
    <row r="30" spans="2:24" s="54" customFormat="1" ht="22.5" customHeight="1" x14ac:dyDescent="0.3">
      <c r="B30" s="335"/>
      <c r="C30" s="334"/>
      <c r="N30" s="204"/>
      <c r="O30" s="435"/>
      <c r="P30" s="295"/>
      <c r="Q30" s="295"/>
      <c r="R30" s="295"/>
      <c r="S30" s="295"/>
      <c r="T30" s="295"/>
      <c r="U30" s="295"/>
      <c r="V30" s="295"/>
      <c r="W30" s="295"/>
      <c r="X30" s="300"/>
    </row>
    <row r="31" spans="2:24" s="54" customFormat="1" ht="21.75" customHeight="1" x14ac:dyDescent="0.35">
      <c r="B31" s="484" t="s">
        <v>349</v>
      </c>
      <c r="C31" s="334"/>
      <c r="N31" s="204"/>
      <c r="O31" s="435"/>
      <c r="P31" s="295"/>
      <c r="Q31" s="295"/>
      <c r="R31" s="295"/>
      <c r="S31" s="295"/>
      <c r="T31" s="295"/>
      <c r="U31" s="295"/>
      <c r="V31" s="295"/>
      <c r="W31" s="295"/>
      <c r="X31" s="300"/>
    </row>
    <row r="32" spans="2:24" s="54" customFormat="1" ht="16.5" customHeight="1" x14ac:dyDescent="0.25">
      <c r="B32" s="56" t="s">
        <v>348</v>
      </c>
      <c r="C32" s="292" t="s">
        <v>36</v>
      </c>
      <c r="N32" s="204"/>
      <c r="O32" s="496">
        <f>'Appendix B State Taxes'!M61</f>
        <v>26191.62</v>
      </c>
      <c r="P32" s="467">
        <f>'Appendix B State Taxes'!N61</f>
        <v>27081.040000000001</v>
      </c>
      <c r="Q32" s="467">
        <f>'Appendix B State Taxes'!O61</f>
        <v>27970.46</v>
      </c>
      <c r="R32" s="467">
        <f>'Appendix B State Taxes'!P61</f>
        <v>28859.879999999997</v>
      </c>
      <c r="S32" s="467">
        <f>'Appendix B State Taxes'!Q61</f>
        <v>29749.3</v>
      </c>
      <c r="T32" s="467">
        <f>'Appendix B State Taxes'!R61</f>
        <v>30638.720000000001</v>
      </c>
      <c r="U32" s="467">
        <f>'Appendix B State Taxes'!S61</f>
        <v>31528.14</v>
      </c>
      <c r="V32" s="467">
        <f>'Appendix B State Taxes'!T61</f>
        <v>32417.559999999998</v>
      </c>
      <c r="W32" s="467">
        <f>'Appendix B State Taxes'!U61</f>
        <v>33306.979999999996</v>
      </c>
      <c r="X32" s="469">
        <f>'Appendix B State Taxes'!V61</f>
        <v>34196.399999999994</v>
      </c>
    </row>
    <row r="33" spans="2:24" s="54" customFormat="1" ht="13.5" customHeight="1" x14ac:dyDescent="0.25">
      <c r="B33" s="56" t="s">
        <v>333</v>
      </c>
      <c r="C33" s="292"/>
      <c r="N33" s="204"/>
      <c r="O33" s="435"/>
      <c r="P33" s="295"/>
      <c r="Q33" s="295"/>
      <c r="R33" s="295"/>
      <c r="S33" s="295"/>
      <c r="T33" s="295"/>
      <c r="U33" s="295"/>
      <c r="V33" s="295"/>
      <c r="W33" s="295"/>
      <c r="X33" s="300"/>
    </row>
    <row r="34" spans="2:24" s="54" customFormat="1" ht="17.25" customHeight="1" x14ac:dyDescent="0.25">
      <c r="B34" s="333" t="s">
        <v>334</v>
      </c>
      <c r="C34" s="292" t="s">
        <v>36</v>
      </c>
      <c r="N34" s="204"/>
      <c r="O34" s="262">
        <f>'4.Turnover'!O97</f>
        <v>171.25370662034831</v>
      </c>
      <c r="P34" s="347">
        <f>'4.Turnover'!P97</f>
        <v>178.19766093353974</v>
      </c>
      <c r="Q34" s="40">
        <f>'4.Turnover'!Q97</f>
        <v>178.57511466935338</v>
      </c>
      <c r="R34" s="40">
        <f>'4.Turnover'!R97</f>
        <v>179.97838890437998</v>
      </c>
      <c r="S34" s="40">
        <f>'4.Turnover'!S97</f>
        <v>181.25885727558884</v>
      </c>
      <c r="T34" s="40">
        <f>'4.Turnover'!T97</f>
        <v>182.79502893689252</v>
      </c>
      <c r="U34" s="40">
        <f>'4.Turnover'!U97</f>
        <v>184.23088796547802</v>
      </c>
      <c r="V34" s="40">
        <f>'4.Turnover'!V97</f>
        <v>185.67535508149763</v>
      </c>
      <c r="W34" s="40">
        <f>'4.Turnover'!W97</f>
        <v>187.12678463343474</v>
      </c>
      <c r="X34" s="25">
        <f>'4.Turnover'!X97</f>
        <v>188.6181388745523</v>
      </c>
    </row>
    <row r="35" spans="2:24" s="54" customFormat="1" ht="17.25" customHeight="1" x14ac:dyDescent="0.25">
      <c r="B35" s="333" t="s">
        <v>331</v>
      </c>
      <c r="C35" s="292" t="s">
        <v>36</v>
      </c>
      <c r="N35" s="204"/>
      <c r="O35" s="262">
        <f>'4.Turnover'!O98</f>
        <v>31.804259800921834</v>
      </c>
      <c r="P35" s="347">
        <f>'4.Turnover'!P98</f>
        <v>33.093851316228815</v>
      </c>
      <c r="Q35" s="40">
        <f>'4.Turnover'!Q98</f>
        <v>33.163949867165627</v>
      </c>
      <c r="R35" s="40">
        <f>'4.Turnover'!R98</f>
        <v>33.424557939384854</v>
      </c>
      <c r="S35" s="40">
        <f>'4.Turnover'!S98</f>
        <v>33.662359208323643</v>
      </c>
      <c r="T35" s="40">
        <f>'4.Turnover'!T98</f>
        <v>33.947648231137187</v>
      </c>
      <c r="U35" s="40">
        <f>'4.Turnover'!U98</f>
        <v>34.214307765017352</v>
      </c>
      <c r="V35" s="40">
        <f>'4.Turnover'!V98</f>
        <v>34.48256594370671</v>
      </c>
      <c r="W35" s="40">
        <f>'4.Turnover'!W98</f>
        <v>34.752117146209315</v>
      </c>
      <c r="X35" s="25">
        <f>'4.Turnover'!X98</f>
        <v>35.02908293384543</v>
      </c>
    </row>
    <row r="36" spans="2:24" s="54" customFormat="1" ht="17.25" customHeight="1" x14ac:dyDescent="0.25">
      <c r="B36" s="333" t="s">
        <v>335</v>
      </c>
      <c r="C36" s="292" t="s">
        <v>36</v>
      </c>
      <c r="N36" s="204"/>
      <c r="O36" s="262">
        <f>'4.Turnover'!O99</f>
        <v>41.590185893513166</v>
      </c>
      <c r="P36" s="347">
        <f>'4.Turnover'!P99</f>
        <v>43.276574798145369</v>
      </c>
      <c r="Q36" s="40">
        <f>'4.Turnover'!Q99</f>
        <v>43.368242133985824</v>
      </c>
      <c r="R36" s="40">
        <f>'4.Turnover'!R99</f>
        <v>43.709037305349433</v>
      </c>
      <c r="S36" s="40">
        <f>'4.Turnover'!S99</f>
        <v>44.020008195500154</v>
      </c>
      <c r="T36" s="40">
        <f>'4.Turnover'!T99</f>
        <v>44.393078456102472</v>
      </c>
      <c r="U36" s="40">
        <f>'4.Turnover'!U99</f>
        <v>44.741787077330379</v>
      </c>
      <c r="V36" s="40">
        <f>'4.Turnover'!V99</f>
        <v>45.092586234078006</v>
      </c>
      <c r="W36" s="40">
        <f>'4.Turnover'!W99</f>
        <v>45.445076268119877</v>
      </c>
      <c r="X36" s="25">
        <f>'4.Turnover'!X99</f>
        <v>45.807262298105563</v>
      </c>
    </row>
    <row r="37" spans="2:24" s="54" customFormat="1" ht="17.25" customHeight="1" x14ac:dyDescent="0.25">
      <c r="B37" s="333" t="s">
        <v>345</v>
      </c>
      <c r="C37" s="292" t="s">
        <v>36</v>
      </c>
      <c r="N37" s="204"/>
      <c r="O37" s="262">
        <f>SUM(O34:O36)</f>
        <v>244.64815231478332</v>
      </c>
      <c r="P37" s="347">
        <f t="shared" ref="P37:X37" si="18">SUM(P34:P36)</f>
        <v>254.56808704791391</v>
      </c>
      <c r="Q37" s="40">
        <f t="shared" si="18"/>
        <v>255.10730667050484</v>
      </c>
      <c r="R37" s="40">
        <f t="shared" si="18"/>
        <v>257.11198414911428</v>
      </c>
      <c r="S37" s="40">
        <f t="shared" si="18"/>
        <v>258.94122467941264</v>
      </c>
      <c r="T37" s="40">
        <f t="shared" si="18"/>
        <v>261.13575562413217</v>
      </c>
      <c r="U37" s="40">
        <f t="shared" si="18"/>
        <v>263.18698280782576</v>
      </c>
      <c r="V37" s="40">
        <f t="shared" si="18"/>
        <v>265.25050725928236</v>
      </c>
      <c r="W37" s="40">
        <f t="shared" si="18"/>
        <v>267.32397804776394</v>
      </c>
      <c r="X37" s="25">
        <f t="shared" si="18"/>
        <v>269.45448410650329</v>
      </c>
    </row>
    <row r="38" spans="2:24" s="54" customFormat="1" ht="17.25" customHeight="1" x14ac:dyDescent="0.25">
      <c r="B38" s="56" t="s">
        <v>336</v>
      </c>
      <c r="C38" s="292"/>
      <c r="N38" s="204"/>
      <c r="O38" s="435"/>
      <c r="P38" s="295"/>
      <c r="Q38" s="295"/>
      <c r="R38" s="295"/>
      <c r="S38" s="295"/>
      <c r="T38" s="295"/>
      <c r="U38" s="295"/>
      <c r="V38" s="295"/>
      <c r="W38" s="295"/>
      <c r="X38" s="300"/>
    </row>
    <row r="39" spans="2:24" s="54" customFormat="1" ht="17.25" customHeight="1" x14ac:dyDescent="0.25">
      <c r="B39" s="333" t="s">
        <v>337</v>
      </c>
      <c r="C39" s="292" t="s">
        <v>36</v>
      </c>
      <c r="D39" s="53">
        <f>'4.Turnover'!D15</f>
        <v>3112.6699530999999</v>
      </c>
      <c r="E39" s="53">
        <f>'4.Turnover'!E15</f>
        <v>3219.8844414300002</v>
      </c>
      <c r="F39" s="53">
        <f>'4.Turnover'!F15</f>
        <v>3284.4017510400004</v>
      </c>
      <c r="G39" s="53">
        <f>'4.Turnover'!G15</f>
        <v>3197.6886193599998</v>
      </c>
      <c r="H39" s="53">
        <f>'4.Turnover'!H15</f>
        <v>3257.2749919300004</v>
      </c>
      <c r="I39" s="53">
        <f>'4.Turnover'!I15</f>
        <v>3030.8330345399995</v>
      </c>
      <c r="J39" s="53">
        <f>'4.Turnover'!J15</f>
        <v>3343.8058093599998</v>
      </c>
      <c r="K39" s="53">
        <f>'4.Turnover'!K15</f>
        <v>3412.4992594300002</v>
      </c>
      <c r="L39" s="53">
        <f>'4.Turnover'!L15</f>
        <v>3334.0297200599998</v>
      </c>
      <c r="M39" s="53">
        <f>'4.Turnover'!M15</f>
        <v>3452.9340855100004</v>
      </c>
      <c r="N39" s="150">
        <f>'4.Turnover'!N15</f>
        <v>3533.3249142500003</v>
      </c>
      <c r="O39" s="485">
        <f>'4.Turnover'!O15</f>
        <v>3874.7010900051855</v>
      </c>
      <c r="P39" s="53">
        <f>'4.Turnover'!P15</f>
        <v>3942.4286010647543</v>
      </c>
      <c r="Q39" s="53">
        <f>'4.Turnover'!Q15</f>
        <v>3979.4362593445521</v>
      </c>
      <c r="R39" s="53">
        <f>'4.Turnover'!R15</f>
        <v>4017.0096477580955</v>
      </c>
      <c r="S39" s="53">
        <f>'4.Turnover'!S15</f>
        <v>4055.0756873202804</v>
      </c>
      <c r="T39" s="53">
        <f>'4.Turnover'!T15</f>
        <v>4093.5746041473822</v>
      </c>
      <c r="U39" s="53">
        <f>'4.Turnover'!U15</f>
        <v>4132.456883576684</v>
      </c>
      <c r="V39" s="53">
        <f>'4.Turnover'!V15</f>
        <v>4171.6810489041918</v>
      </c>
      <c r="W39" s="53">
        <f>'4.Turnover'!W15</f>
        <v>4211.2120105449285</v>
      </c>
      <c r="X39" s="150">
        <f>'4.Turnover'!X15</f>
        <v>4251.0198183877892</v>
      </c>
    </row>
    <row r="40" spans="2:24" s="54" customFormat="1" ht="17.25" customHeight="1" x14ac:dyDescent="0.25">
      <c r="B40" s="333" t="s">
        <v>338</v>
      </c>
      <c r="C40" s="292" t="s">
        <v>36</v>
      </c>
      <c r="D40" s="53">
        <f>'4.Turnover'!D38</f>
        <v>721.02420744000005</v>
      </c>
      <c r="E40" s="53">
        <f>'4.Turnover'!E38</f>
        <v>774.34614436999993</v>
      </c>
      <c r="F40" s="53">
        <f>'4.Turnover'!F38</f>
        <v>795.32723435000003</v>
      </c>
      <c r="G40" s="53">
        <f>'4.Turnover'!G38</f>
        <v>764.03421566999987</v>
      </c>
      <c r="H40" s="53">
        <f>'4.Turnover'!H38</f>
        <v>760.30826352999998</v>
      </c>
      <c r="I40" s="53">
        <f>'4.Turnover'!I38</f>
        <v>850.82443351000006</v>
      </c>
      <c r="J40" s="53">
        <f>'4.Turnover'!J38</f>
        <v>827.71288276999996</v>
      </c>
      <c r="K40" s="53">
        <f>'4.Turnover'!K38</f>
        <v>852.97037091000004</v>
      </c>
      <c r="L40" s="53">
        <f>'4.Turnover'!L38</f>
        <v>928.81433602000016</v>
      </c>
      <c r="M40" s="53">
        <f>'4.Turnover'!M38</f>
        <v>966.47676074000003</v>
      </c>
      <c r="N40" s="150">
        <f>'4.Turnover'!N38</f>
        <v>1017.6323466899998</v>
      </c>
      <c r="O40" s="485">
        <f>'4.Turnover'!O38</f>
        <v>913.61251699000002</v>
      </c>
      <c r="P40" s="53">
        <f>'4.Turnover'!P38</f>
        <v>1054.3419999999999</v>
      </c>
      <c r="Q40" s="53">
        <f>'4.Turnover'!Q38</f>
        <v>1037.3309999999999</v>
      </c>
      <c r="R40" s="53">
        <f>'4.Turnover'!R38</f>
        <v>1052.32</v>
      </c>
      <c r="S40" s="53">
        <f>'4.Turnover'!S38</f>
        <v>1062.9177500000001</v>
      </c>
      <c r="T40" s="53">
        <f>'4.Turnover'!T38</f>
        <v>1081.2001874999999</v>
      </c>
      <c r="U40" s="53">
        <f>'4.Turnover'!U38</f>
        <v>1095.9147343750001</v>
      </c>
      <c r="V40" s="53">
        <f>'4.Turnover'!V38</f>
        <v>1110.5606679687498</v>
      </c>
      <c r="W40" s="53">
        <f>'4.Turnover'!W38</f>
        <v>1125.1208349609374</v>
      </c>
      <c r="X40" s="150">
        <f>'4.Turnover'!X38</f>
        <v>1140.6716062011719</v>
      </c>
    </row>
    <row r="41" spans="2:24" s="54" customFormat="1" ht="17.25" customHeight="1" x14ac:dyDescent="0.25">
      <c r="B41" s="333" t="s">
        <v>339</v>
      </c>
      <c r="C41" s="292" t="s">
        <v>36</v>
      </c>
      <c r="D41" s="53">
        <f>'4.Turnover'!D61</f>
        <v>595.51759542000002</v>
      </c>
      <c r="E41" s="53">
        <f>'4.Turnover'!E61</f>
        <v>630.2595080100001</v>
      </c>
      <c r="F41" s="53">
        <f>'4.Turnover'!F61</f>
        <v>632.18352123</v>
      </c>
      <c r="G41" s="53">
        <f>'4.Turnover'!G61</f>
        <v>606.08973693000007</v>
      </c>
      <c r="H41" s="53">
        <f>'4.Turnover'!H61</f>
        <v>608.26169660000005</v>
      </c>
      <c r="I41" s="53">
        <f>'4.Turnover'!I61</f>
        <v>535.43200487000001</v>
      </c>
      <c r="J41" s="53">
        <f>'4.Turnover'!J61</f>
        <v>612.56939210000007</v>
      </c>
      <c r="K41" s="53">
        <f>'4.Turnover'!K61</f>
        <v>625.92975922000005</v>
      </c>
      <c r="L41" s="53">
        <f>'4.Turnover'!L61</f>
        <v>594.40430171000003</v>
      </c>
      <c r="M41" s="53">
        <f>'4.Turnover'!M61</f>
        <v>580.33196277000002</v>
      </c>
      <c r="N41" s="150">
        <f>'4.Turnover'!N61</f>
        <v>613.98485606999998</v>
      </c>
      <c r="O41" s="485">
        <f>'4.Turnover'!O61</f>
        <v>648.31200000000001</v>
      </c>
      <c r="P41" s="53">
        <f>'4.Turnover'!P61</f>
        <v>660.298</v>
      </c>
      <c r="Q41" s="53">
        <f>'4.Turnover'!Q61</f>
        <v>652.28399999999999</v>
      </c>
      <c r="R41" s="53">
        <f>'4.Turnover'!R61</f>
        <v>644.27</v>
      </c>
      <c r="S41" s="53">
        <f>'4.Turnover'!S61</f>
        <v>636.25600000000009</v>
      </c>
      <c r="T41" s="53">
        <f>'4.Turnover'!T61</f>
        <v>628.24199999999996</v>
      </c>
      <c r="U41" s="53">
        <f>'4.Turnover'!U61</f>
        <v>620.22800000000007</v>
      </c>
      <c r="V41" s="53">
        <f>'4.Turnover'!V61</f>
        <v>612.21400000000006</v>
      </c>
      <c r="W41" s="53">
        <f>'4.Turnover'!W61</f>
        <v>604.20000000000005</v>
      </c>
      <c r="X41" s="150">
        <f>'4.Turnover'!X61</f>
        <v>596.18600000000004</v>
      </c>
    </row>
    <row r="42" spans="2:24" s="54" customFormat="1" ht="17.25" customHeight="1" x14ac:dyDescent="0.25">
      <c r="B42" s="333" t="s">
        <v>346</v>
      </c>
      <c r="C42" s="292" t="s">
        <v>36</v>
      </c>
      <c r="D42" s="53">
        <f>SUM(D39:D41)</f>
        <v>4429.2117559600001</v>
      </c>
      <c r="E42" s="53">
        <f t="shared" ref="E42:X42" si="19">SUM(E39:E41)</f>
        <v>4624.49009381</v>
      </c>
      <c r="F42" s="53">
        <f t="shared" si="19"/>
        <v>4711.9125066200004</v>
      </c>
      <c r="G42" s="53">
        <f t="shared" si="19"/>
        <v>4567.8125719599993</v>
      </c>
      <c r="H42" s="53">
        <f t="shared" si="19"/>
        <v>4625.8449520600007</v>
      </c>
      <c r="I42" s="53">
        <f t="shared" si="19"/>
        <v>4417.0894729199999</v>
      </c>
      <c r="J42" s="53">
        <f t="shared" si="19"/>
        <v>4784.0880842300003</v>
      </c>
      <c r="K42" s="53">
        <f t="shared" si="19"/>
        <v>4891.3993895600006</v>
      </c>
      <c r="L42" s="53">
        <f t="shared" si="19"/>
        <v>4857.2483577900002</v>
      </c>
      <c r="M42" s="53">
        <f t="shared" si="19"/>
        <v>4999.742809020001</v>
      </c>
      <c r="N42" s="150">
        <f t="shared" si="19"/>
        <v>5164.9421170100004</v>
      </c>
      <c r="O42" s="485">
        <f t="shared" si="19"/>
        <v>5436.6256069951851</v>
      </c>
      <c r="P42" s="53">
        <f t="shared" si="19"/>
        <v>5657.0686010647541</v>
      </c>
      <c r="Q42" s="53">
        <f t="shared" si="19"/>
        <v>5669.0512593445519</v>
      </c>
      <c r="R42" s="53">
        <f t="shared" si="19"/>
        <v>5713.5996477580957</v>
      </c>
      <c r="S42" s="53">
        <f t="shared" si="19"/>
        <v>5754.2494373202808</v>
      </c>
      <c r="T42" s="53">
        <f t="shared" si="19"/>
        <v>5803.016791647382</v>
      </c>
      <c r="U42" s="53">
        <f t="shared" si="19"/>
        <v>5848.5996179516842</v>
      </c>
      <c r="V42" s="53">
        <f t="shared" si="19"/>
        <v>5894.4557168729416</v>
      </c>
      <c r="W42" s="53">
        <f t="shared" si="19"/>
        <v>5940.5328455058652</v>
      </c>
      <c r="X42" s="150">
        <f t="shared" si="19"/>
        <v>5987.8774245889608</v>
      </c>
    </row>
    <row r="43" spans="2:24" s="54" customFormat="1" ht="17.25" customHeight="1" x14ac:dyDescent="0.25">
      <c r="B43" s="56" t="s">
        <v>343</v>
      </c>
      <c r="C43" s="204"/>
      <c r="N43" s="204"/>
      <c r="O43" s="435"/>
      <c r="P43" s="295"/>
      <c r="Q43" s="295"/>
      <c r="R43" s="295"/>
      <c r="S43" s="295"/>
      <c r="T43" s="295"/>
      <c r="U43" s="295"/>
      <c r="V43" s="295"/>
      <c r="W43" s="295"/>
      <c r="X43" s="300"/>
    </row>
    <row r="44" spans="2:24" s="54" customFormat="1" ht="17.25" customHeight="1" x14ac:dyDescent="0.25">
      <c r="B44" s="333" t="s">
        <v>340</v>
      </c>
      <c r="C44" s="292" t="s">
        <v>361</v>
      </c>
      <c r="G44" s="53">
        <f>'[9]5.Employ'!D287*1000</f>
        <v>4159.2500000000009</v>
      </c>
      <c r="H44" s="53">
        <f>'[9]5.Employ'!E287*1000</f>
        <v>4243.487974683545</v>
      </c>
      <c r="I44" s="53">
        <f>'[9]5.Employ'!F287*1000</f>
        <v>4350.8234585545115</v>
      </c>
      <c r="J44" s="53">
        <f>'[9]5.Employ'!G287*1000</f>
        <v>4453.4035728868921</v>
      </c>
      <c r="K44" s="53">
        <f>'[9]5.Employ'!H287*1000</f>
        <v>4315.4978562678634</v>
      </c>
      <c r="L44" s="53">
        <f>'[9]5.Employ'!I287*1000</f>
        <v>4252.3193752552052</v>
      </c>
      <c r="M44" s="53">
        <f>'[9]5.Employ'!J287*1000</f>
        <v>4348.785443037973</v>
      </c>
      <c r="N44" s="150">
        <f>'[9]5.Employ'!K287*1000</f>
        <v>4463.5492385619273</v>
      </c>
      <c r="O44" s="626">
        <f>'[3]5.Employ'!L287*1000</f>
        <v>5039.8435954747756</v>
      </c>
      <c r="P44" s="617">
        <f>'[3]5.Employ'!M287*1000</f>
        <v>5100.5799258214756</v>
      </c>
      <c r="Q44" s="618">
        <f>'[3]5.Employ'!N287*1000</f>
        <v>5133.6178009537061</v>
      </c>
      <c r="R44" s="618">
        <f>'[3]5.Employ'!O287*1000</f>
        <v>5181.7538371834735</v>
      </c>
      <c r="S44" s="618">
        <f>'[3]5.Employ'!P287*1000</f>
        <v>5230.5781764210833</v>
      </c>
      <c r="T44" s="618">
        <f>'[3]5.Employ'!Q287*1000</f>
        <v>5280.0073061362782</v>
      </c>
      <c r="U44" s="618">
        <f>'[3]5.Employ'!R287*1000</f>
        <v>5329.9720473747921</v>
      </c>
      <c r="V44" s="618">
        <f>'[3]5.Employ'!S287*1000</f>
        <v>5380.4144513422425</v>
      </c>
      <c r="W44" s="618">
        <f>'[3]5.Employ'!T287*1000</f>
        <v>5431.2854929486639</v>
      </c>
      <c r="X44" s="592">
        <f>'[3]5.Employ'!U287*1000</f>
        <v>5482.5433276726044</v>
      </c>
    </row>
    <row r="45" spans="2:24" s="54" customFormat="1" ht="15.75" customHeight="1" x14ac:dyDescent="0.25">
      <c r="B45" s="333" t="s">
        <v>341</v>
      </c>
      <c r="C45" s="292" t="s">
        <v>361</v>
      </c>
      <c r="G45" s="53">
        <f>'[9]5.Employ'!D288*1000</f>
        <v>715.42844814418822</v>
      </c>
      <c r="H45" s="53">
        <f>'[9]5.Employ'!E288*1000</f>
        <v>729.91813823318444</v>
      </c>
      <c r="I45" s="53">
        <f>'[9]5.Employ'!F288*1000</f>
        <v>748.38080786271178</v>
      </c>
      <c r="J45" s="53">
        <f>'[9]5.Employ'!G288*1000</f>
        <v>766.02551111624746</v>
      </c>
      <c r="K45" s="53">
        <f>'[9]5.Employ'!H288*1000</f>
        <v>742.3044862124874</v>
      </c>
      <c r="L45" s="53">
        <f>'[9]5.Employ'!I288*1000</f>
        <v>731.43721864574036</v>
      </c>
      <c r="M45" s="53">
        <f>'[9]5.Employ'!J288*1000</f>
        <v>748.03025084442959</v>
      </c>
      <c r="N45" s="150">
        <f>'[9]5.Employ'!K288*1000</f>
        <v>767.77065695967622</v>
      </c>
      <c r="O45" s="626">
        <f>'[3]5.Employ'!L288*1000</f>
        <v>855.49098696068586</v>
      </c>
      <c r="P45" s="617">
        <f>'[3]5.Employ'!M288*1000</f>
        <v>987.26764509069869</v>
      </c>
      <c r="Q45" s="618">
        <f>'[3]5.Employ'!N288*1000</f>
        <v>971.33883839359476</v>
      </c>
      <c r="R45" s="618">
        <f>'[3]5.Employ'!O288*1000</f>
        <v>985.37427920147741</v>
      </c>
      <c r="S45" s="618">
        <f>'[3]5.Employ'!P288*1000</f>
        <v>995.29782932635158</v>
      </c>
      <c r="T45" s="618">
        <f>'[3]5.Employ'!Q288*1000</f>
        <v>1012.4171881464903</v>
      </c>
      <c r="U45" s="618">
        <f>'[3]5.Employ'!R288*1000</f>
        <v>1026.1956357866848</v>
      </c>
      <c r="V45" s="618">
        <f>'[3]5.Employ'!S288*1000</f>
        <v>1039.9098351349571</v>
      </c>
      <c r="W45" s="618">
        <f>'[3]5.Employ'!T288*1000</f>
        <v>1053.5437241183272</v>
      </c>
      <c r="X45" s="592">
        <f>'[3]5.Employ'!U288*1000</f>
        <v>1068.1051978163214</v>
      </c>
    </row>
    <row r="46" spans="2:24" s="54" customFormat="1" ht="15" customHeight="1" x14ac:dyDescent="0.25">
      <c r="B46" s="333" t="s">
        <v>342</v>
      </c>
      <c r="C46" s="292" t="s">
        <v>361</v>
      </c>
      <c r="G46" s="53">
        <f>'[9]5.Employ'!D289*1000</f>
        <v>101.78285218649687</v>
      </c>
      <c r="H46" s="53">
        <f>'[9]5.Employ'!E289*1000</f>
        <v>103.84427704090692</v>
      </c>
      <c r="I46" s="53">
        <f>'[9]5.Employ'!F289*1000</f>
        <v>106.47093129088101</v>
      </c>
      <c r="J46" s="53">
        <f>'[9]5.Employ'!G289*1000</f>
        <v>108.98121478294489</v>
      </c>
      <c r="K46" s="53">
        <f>'[9]5.Employ'!H289*1000</f>
        <v>105.60646280354776</v>
      </c>
      <c r="L46" s="53">
        <f>'[9]5.Employ'!I289*1000</f>
        <v>104.06039416274022</v>
      </c>
      <c r="M46" s="53">
        <f>'[9]5.Employ'!J289*1000</f>
        <v>106.42105810891947</v>
      </c>
      <c r="N46" s="150">
        <f>'[9]5.Employ'!K289*1000</f>
        <v>109.22949386925511</v>
      </c>
      <c r="O46" s="626">
        <f>'[3]5.Employ'!L289*1000</f>
        <v>108.87339026886259</v>
      </c>
      <c r="P46" s="617">
        <f>'[3]5.Employ'!M289*1000</f>
        <v>110.88624280863139</v>
      </c>
      <c r="Q46" s="618">
        <f>'[3]5.Employ'!N289*1000</f>
        <v>109.54042266398704</v>
      </c>
      <c r="R46" s="618">
        <f>'[3]5.Employ'!O289*1000</f>
        <v>108.19460251934269</v>
      </c>
      <c r="S46" s="618">
        <f>'[3]5.Employ'!P289*1000</f>
        <v>106.84878237469836</v>
      </c>
      <c r="T46" s="618">
        <f>'[3]5.Employ'!Q289*1000</f>
        <v>105.502962230054</v>
      </c>
      <c r="U46" s="618">
        <f>'[3]5.Employ'!R289*1000</f>
        <v>104.15714208540967</v>
      </c>
      <c r="V46" s="618">
        <f>'[3]5.Employ'!S289*1000</f>
        <v>102.81132194076534</v>
      </c>
      <c r="W46" s="618">
        <f>'[3]5.Employ'!T289*1000</f>
        <v>101.46550179612099</v>
      </c>
      <c r="X46" s="592">
        <f>'[3]5.Employ'!U289*1000</f>
        <v>100.11968165147665</v>
      </c>
    </row>
    <row r="47" spans="2:24" s="54" customFormat="1" ht="15" customHeight="1" x14ac:dyDescent="0.25">
      <c r="B47" s="333" t="s">
        <v>345</v>
      </c>
      <c r="C47" s="292" t="s">
        <v>361</v>
      </c>
      <c r="G47" s="405">
        <f>SUM(G44:G46)</f>
        <v>4976.4613003306858</v>
      </c>
      <c r="H47" s="405">
        <f t="shared" ref="H47:X47" si="20">SUM(H44:H46)</f>
        <v>5077.2503899576359</v>
      </c>
      <c r="I47" s="405">
        <f t="shared" si="20"/>
        <v>5205.675197708104</v>
      </c>
      <c r="J47" s="405">
        <f t="shared" si="20"/>
        <v>5328.4102987860851</v>
      </c>
      <c r="K47" s="405">
        <f t="shared" si="20"/>
        <v>5163.4088052838979</v>
      </c>
      <c r="L47" s="405">
        <f t="shared" si="20"/>
        <v>5087.816988063686</v>
      </c>
      <c r="M47" s="405">
        <f t="shared" si="20"/>
        <v>5203.2367519913214</v>
      </c>
      <c r="N47" s="411">
        <f t="shared" si="20"/>
        <v>5340.5493893908579</v>
      </c>
      <c r="O47" s="485">
        <f t="shared" si="20"/>
        <v>6004.2079727043247</v>
      </c>
      <c r="P47" s="53">
        <f t="shared" si="20"/>
        <v>6198.7338137208053</v>
      </c>
      <c r="Q47" s="53">
        <f t="shared" si="20"/>
        <v>6214.4970620112872</v>
      </c>
      <c r="R47" s="53">
        <f t="shared" si="20"/>
        <v>6275.3227189042937</v>
      </c>
      <c r="S47" s="53">
        <f t="shared" si="20"/>
        <v>6332.7247881221328</v>
      </c>
      <c r="T47" s="53">
        <f t="shared" si="20"/>
        <v>6397.9274565128226</v>
      </c>
      <c r="U47" s="53">
        <f t="shared" si="20"/>
        <v>6460.3248252468866</v>
      </c>
      <c r="V47" s="53">
        <f t="shared" si="20"/>
        <v>6523.1356084179652</v>
      </c>
      <c r="W47" s="53">
        <f t="shared" si="20"/>
        <v>6586.2947188631124</v>
      </c>
      <c r="X47" s="150">
        <f t="shared" si="20"/>
        <v>6650.7682071404024</v>
      </c>
    </row>
    <row r="48" spans="2:24" s="54" customFormat="1" ht="15" customHeight="1" x14ac:dyDescent="0.25">
      <c r="B48" s="333" t="s">
        <v>344</v>
      </c>
      <c r="C48" s="292" t="s">
        <v>361</v>
      </c>
      <c r="G48" s="407">
        <f>SUM('[9]5.Employ'!$D$273:D285)*1000</f>
        <v>3331304.5856996686</v>
      </c>
      <c r="H48" s="407">
        <f>SUM('[9]5.Employ'!$D$273:E285)*1000</f>
        <v>6741554.1846889919</v>
      </c>
      <c r="I48" s="407">
        <f>SUM('[9]5.Employ'!$D$273:F285)*1000</f>
        <v>10228446.523356505</v>
      </c>
      <c r="J48" s="407">
        <f>SUM('[9]5.Employ'!$D$273:G285)*1000</f>
        <v>13782133.797293991</v>
      </c>
      <c r="K48" s="407">
        <f>SUM('[9]5.Employ'!$D$273:H285)*1000</f>
        <v>17386175.324057162</v>
      </c>
      <c r="L48" s="407">
        <f>SUM('[9]5.Employ'!$D$273:I285)*1000</f>
        <v>21062713.42221475</v>
      </c>
      <c r="M48" s="407">
        <f>SUM('[9]5.Employ'!$D$273:J285)*1000</f>
        <v>24790354.919489883</v>
      </c>
      <c r="N48" s="412">
        <f>SUM('[9]5.Employ'!$D$273:K285)*1000</f>
        <v>28559533.070189107</v>
      </c>
      <c r="O48" s="627">
        <f ca="1">SUM('[3]5.Employ'!L273:L285)*1000</f>
        <v>3832477.3144211532</v>
      </c>
      <c r="P48" s="628">
        <f ca="1">SUM('[3]5.Employ'!M273:M285)*1000</f>
        <v>3874852.9112148513</v>
      </c>
      <c r="Q48" s="630">
        <f ca="1">SUM('[3]5.Employ'!N273:N285)*1000</f>
        <v>3917181.6420871736</v>
      </c>
      <c r="R48" s="630">
        <f ca="1">SUM('[3]5.Employ'!O273:O285)*1000</f>
        <v>3956524.6941577429</v>
      </c>
      <c r="S48" s="630">
        <f ca="1">SUM('[3]5.Employ'!P273:P285)*1000</f>
        <v>3994493.2173964689</v>
      </c>
      <c r="T48" s="630">
        <f ca="1">SUM('[3]5.Employ'!Q273:Q285)*1000</f>
        <v>4030981.9510143041</v>
      </c>
      <c r="U48" s="630">
        <f ca="1">SUM('[3]5.Employ'!R273:R285)*1000</f>
        <v>4066060.1854143678</v>
      </c>
      <c r="V48" s="630">
        <f ca="1">SUM('[3]5.Employ'!S273:S285)*1000</f>
        <v>4102980.24070716</v>
      </c>
      <c r="W48" s="630">
        <f ca="1">SUM('[3]5.Employ'!T273:T285)*1000</f>
        <v>4140100.4931091811</v>
      </c>
      <c r="X48" s="629">
        <f ca="1">SUM('[3]5.Employ'!U273:U285)*1000</f>
        <v>4177472.5209513619</v>
      </c>
    </row>
    <row r="49" spans="1:24" s="54" customFormat="1" ht="15" customHeight="1" x14ac:dyDescent="0.25">
      <c r="B49" s="56" t="s">
        <v>325</v>
      </c>
      <c r="C49" s="292"/>
      <c r="N49" s="204"/>
      <c r="O49" s="435"/>
      <c r="P49" s="295"/>
      <c r="Q49" s="295"/>
      <c r="R49" s="295"/>
      <c r="S49" s="295"/>
      <c r="T49" s="295"/>
      <c r="U49" s="295"/>
      <c r="V49" s="295"/>
      <c r="W49" s="295"/>
      <c r="X49" s="300"/>
    </row>
    <row r="50" spans="1:24" s="54" customFormat="1" ht="15" customHeight="1" x14ac:dyDescent="0.25">
      <c r="B50" s="333" t="s">
        <v>340</v>
      </c>
      <c r="C50" s="292" t="s">
        <v>36</v>
      </c>
      <c r="G50" s="52">
        <f>'[9]4.IGVA'!D137</f>
        <v>499.10864900000001</v>
      </c>
      <c r="H50" s="52">
        <f>'[9]4.IGVA'!E137</f>
        <v>509.21717859999995</v>
      </c>
      <c r="I50" s="52">
        <f>'[9]4.IGVA'!F137</f>
        <v>522.09740179999994</v>
      </c>
      <c r="J50" s="52">
        <f>'[9]4.IGVA'!G137</f>
        <v>534.40698220000002</v>
      </c>
      <c r="K50" s="52">
        <f>'[9]4.IGVA'!H137</f>
        <v>517.858341</v>
      </c>
      <c r="L50" s="52">
        <f>'[9]4.IGVA'!I137</f>
        <v>510.27694380000008</v>
      </c>
      <c r="M50" s="52">
        <f>'[9]4.IGVA'!J137</f>
        <v>521.85284060000004</v>
      </c>
      <c r="N50" s="207">
        <f>'[9]4.IGVA'!K137</f>
        <v>535.62445878550784</v>
      </c>
      <c r="O50" s="626">
        <f>'[3]4.IGVA'!L327</f>
        <v>604.77959442416727</v>
      </c>
      <c r="P50" s="617">
        <f>'[3]4.IGVA'!M327</f>
        <v>612.06793433750715</v>
      </c>
      <c r="Q50" s="618">
        <f>'[3]4.IGVA'!N327</f>
        <v>616.03246862207254</v>
      </c>
      <c r="R50" s="618">
        <f>'[3]4.IGVA'!O327</f>
        <v>621.80877733418504</v>
      </c>
      <c r="S50" s="618">
        <f>'[3]4.IGVA'!P327</f>
        <v>627.66768218366542</v>
      </c>
      <c r="T50" s="618">
        <f>'[3]4.IGVA'!Q327</f>
        <v>633.59916169400901</v>
      </c>
      <c r="U50" s="618">
        <f>'[3]4.IGVA'!R327</f>
        <v>639.59491441317448</v>
      </c>
      <c r="V50" s="618">
        <f>'[3]4.IGVA'!S327</f>
        <v>645.64798650465889</v>
      </c>
      <c r="W50" s="618">
        <f>'[3]4.IGVA'!T327</f>
        <v>651.7524949735905</v>
      </c>
      <c r="X50" s="592">
        <f>'[3]4.IGVA'!U327</f>
        <v>657.90341849098695</v>
      </c>
    </row>
    <row r="51" spans="1:24" s="54" customFormat="1" ht="15" customHeight="1" x14ac:dyDescent="0.25">
      <c r="B51" s="333" t="s">
        <v>341</v>
      </c>
      <c r="C51" s="292" t="s">
        <v>36</v>
      </c>
      <c r="G51" s="52">
        <f>'[9]4.IGVA'!D138</f>
        <v>85.851413777302582</v>
      </c>
      <c r="H51" s="52">
        <f>'[9]4.IGVA'!E138</f>
        <v>87.590176587982114</v>
      </c>
      <c r="I51" s="52">
        <f>'[9]4.IGVA'!F138</f>
        <v>89.805696943525405</v>
      </c>
      <c r="J51" s="52">
        <f>'[9]4.IGVA'!G138</f>
        <v>91.92306133394969</v>
      </c>
      <c r="K51" s="52">
        <f>'[9]4.IGVA'!H138</f>
        <v>89.076538345498491</v>
      </c>
      <c r="L51" s="52">
        <f>'[9]4.IGVA'!I138</f>
        <v>87.772466237488842</v>
      </c>
      <c r="M51" s="52">
        <f>'[9]4.IGVA'!J138</f>
        <v>89.763630101331529</v>
      </c>
      <c r="N51" s="207">
        <f>'[9]4.IGVA'!K138</f>
        <v>92.132478835161123</v>
      </c>
      <c r="O51" s="626">
        <f>'[3]4.IGVA'!L328</f>
        <v>102.65891843528229</v>
      </c>
      <c r="P51" s="617">
        <f>'[3]4.IGVA'!M328</f>
        <v>118.47211741088383</v>
      </c>
      <c r="Q51" s="618">
        <f>'[3]4.IGVA'!N328</f>
        <v>116.56066060723137</v>
      </c>
      <c r="R51" s="618">
        <f>'[3]4.IGVA'!O328</f>
        <v>118.24491350417728</v>
      </c>
      <c r="S51" s="618">
        <f>'[3]4.IGVA'!P328</f>
        <v>119.43573951916218</v>
      </c>
      <c r="T51" s="618">
        <f>'[3]4.IGVA'!Q328</f>
        <v>121.49006257757883</v>
      </c>
      <c r="U51" s="618">
        <f>'[3]4.IGVA'!R328</f>
        <v>123.14347629440218</v>
      </c>
      <c r="V51" s="618">
        <f>'[3]4.IGVA'!S328</f>
        <v>124.78918021619485</v>
      </c>
      <c r="W51" s="618">
        <f>'[3]4.IGVA'!T328</f>
        <v>126.42524689419926</v>
      </c>
      <c r="X51" s="592">
        <f>'[3]4.IGVA'!U328</f>
        <v>128.17262373795856</v>
      </c>
    </row>
    <row r="52" spans="1:24" s="54" customFormat="1" ht="15" customHeight="1" x14ac:dyDescent="0.25">
      <c r="B52" s="333" t="s">
        <v>342</v>
      </c>
      <c r="C52" s="292" t="s">
        <v>36</v>
      </c>
      <c r="G52" s="52">
        <f>'[9]4.IGVA'!D139</f>
        <v>12</v>
      </c>
      <c r="H52" s="52">
        <f>'[9]4.IGVA'!E139</f>
        <v>12.243037974683542</v>
      </c>
      <c r="I52" s="52">
        <f>'[9]4.IGVA'!F139</f>
        <v>12.55271539403838</v>
      </c>
      <c r="J52" s="52">
        <f>'[9]4.IGVA'!G139</f>
        <v>12.8486729277256</v>
      </c>
      <c r="K52" s="52">
        <f>'[9]4.IGVA'!H139</f>
        <v>12.450796243364636</v>
      </c>
      <c r="L52" s="52">
        <f>'[9]4.IGVA'!I139</f>
        <v>12.26851776235198</v>
      </c>
      <c r="M52" s="52">
        <f>'[9]4.IGVA'!J139</f>
        <v>12.546835443037972</v>
      </c>
      <c r="N52" s="207">
        <f>'[9]4.IGVA'!K139</f>
        <v>12.877944548354424</v>
      </c>
      <c r="O52" s="626">
        <f>'[3]4.IGVA'!L329</f>
        <v>12.835960627557233</v>
      </c>
      <c r="P52" s="617">
        <f>'[3]4.IGVA'!M329</f>
        <v>13.073272020963341</v>
      </c>
      <c r="Q52" s="618">
        <f>'[3]4.IGVA'!N329</f>
        <v>12.914602447564663</v>
      </c>
      <c r="R52" s="618">
        <f>'[3]4.IGVA'!O329</f>
        <v>12.755932874165985</v>
      </c>
      <c r="S52" s="618">
        <f>'[3]4.IGVA'!P329</f>
        <v>12.59726330076731</v>
      </c>
      <c r="T52" s="618">
        <f>'[3]4.IGVA'!Q329</f>
        <v>12.438593727368628</v>
      </c>
      <c r="U52" s="618">
        <f>'[3]4.IGVA'!R329</f>
        <v>12.279924153969953</v>
      </c>
      <c r="V52" s="618">
        <f>'[3]4.IGVA'!S329</f>
        <v>12.121254580571275</v>
      </c>
      <c r="W52" s="618">
        <f>'[3]4.IGVA'!T329</f>
        <v>11.962585007172597</v>
      </c>
      <c r="X52" s="592">
        <f>'[3]4.IGVA'!U329</f>
        <v>11.80391543377392</v>
      </c>
    </row>
    <row r="53" spans="1:24" s="54" customFormat="1" ht="15.75" customHeight="1" x14ac:dyDescent="0.25">
      <c r="B53" s="333" t="s">
        <v>345</v>
      </c>
      <c r="C53" s="292" t="s">
        <v>36</v>
      </c>
      <c r="G53" s="408">
        <f>SUM(G50:G52)</f>
        <v>596.9600627773026</v>
      </c>
      <c r="H53" s="408">
        <f t="shared" ref="H53:X53" si="21">SUM(H50:H52)</f>
        <v>609.0503931626655</v>
      </c>
      <c r="I53" s="408">
        <f t="shared" si="21"/>
        <v>624.45581413756372</v>
      </c>
      <c r="J53" s="408">
        <f t="shared" si="21"/>
        <v>639.17871646167532</v>
      </c>
      <c r="K53" s="408">
        <f t="shared" si="21"/>
        <v>619.38567558886314</v>
      </c>
      <c r="L53" s="408">
        <f t="shared" si="21"/>
        <v>610.31792779984085</v>
      </c>
      <c r="M53" s="408">
        <f t="shared" si="21"/>
        <v>624.16330614436947</v>
      </c>
      <c r="N53" s="413">
        <f t="shared" si="21"/>
        <v>640.6348821690234</v>
      </c>
      <c r="O53" s="485">
        <f>SUM(O50:O52)</f>
        <v>720.27447348700684</v>
      </c>
      <c r="P53" s="53">
        <f t="shared" si="21"/>
        <v>743.61332376935434</v>
      </c>
      <c r="Q53" s="53">
        <f t="shared" si="21"/>
        <v>745.50773167686862</v>
      </c>
      <c r="R53" s="53">
        <f t="shared" si="21"/>
        <v>752.80962371252826</v>
      </c>
      <c r="S53" s="53">
        <f t="shared" si="21"/>
        <v>759.70068500359491</v>
      </c>
      <c r="T53" s="53">
        <f t="shared" si="21"/>
        <v>767.52781799895638</v>
      </c>
      <c r="U53" s="53">
        <f t="shared" si="21"/>
        <v>775.01831486154663</v>
      </c>
      <c r="V53" s="53">
        <f t="shared" si="21"/>
        <v>782.55842130142503</v>
      </c>
      <c r="W53" s="53">
        <f t="shared" si="21"/>
        <v>790.1403268749624</v>
      </c>
      <c r="X53" s="150">
        <f t="shared" si="21"/>
        <v>797.87995766271945</v>
      </c>
    </row>
    <row r="54" spans="1:24" s="54" customFormat="1" ht="18" customHeight="1" x14ac:dyDescent="0.25">
      <c r="B54" s="333" t="s">
        <v>344</v>
      </c>
      <c r="C54" s="292" t="s">
        <v>36</v>
      </c>
      <c r="G54" s="407">
        <f>SUM('[9]4.IGVA'!D313:D326)</f>
        <v>379346.03993722273</v>
      </c>
      <c r="H54" s="407">
        <f>SUM('[9]4.IGVA'!E313:E326)</f>
        <v>386330.94960683736</v>
      </c>
      <c r="I54" s="407">
        <f>SUM('[9]4.IGVA'!F313:F326)</f>
        <v>396701.54418586241</v>
      </c>
      <c r="J54" s="407">
        <f>SUM('[9]4.IGVA'!G313:G326)</f>
        <v>401329.8212835383</v>
      </c>
      <c r="K54" s="407">
        <f>SUM('[9]4.IGVA'!H313:H326)</f>
        <v>409075.61432441114</v>
      </c>
      <c r="L54" s="407">
        <f>SUM('[9]4.IGVA'!I313:I326)</f>
        <v>419081.68207220017</v>
      </c>
      <c r="M54" s="407">
        <f>SUM('[9]4.IGVA'!J313:J326)</f>
        <v>429043.83669385564</v>
      </c>
      <c r="N54" s="412">
        <f>SUM('[9]4.IGVA'!K313:K326)</f>
        <v>438065.36511783098</v>
      </c>
      <c r="O54" s="627">
        <f ca="1">SUM('[3]4.IGVA'!L313:L326)</f>
        <v>449644.54157212918</v>
      </c>
      <c r="P54" s="628">
        <f ca="1">SUM('[3]4.IGVA'!M313:M326)</f>
        <v>460777.50023273035</v>
      </c>
      <c r="Q54" s="630">
        <f ca="1">SUM('[3]4.IGVA'!N313:N326)</f>
        <v>472117.29764699657</v>
      </c>
      <c r="R54" s="630">
        <f ca="1">SUM('[3]4.IGVA'!O313:O326)</f>
        <v>483897.25862668268</v>
      </c>
      <c r="S54" s="630">
        <f ca="1">SUM('[3]4.IGVA'!P313:P326)</f>
        <v>496589.84120172873</v>
      </c>
      <c r="T54" s="630">
        <f ca="1">SUM('[3]4.IGVA'!Q313:Q326)</f>
        <v>509312.19219540583</v>
      </c>
      <c r="U54" s="630">
        <f ca="1">SUM('[3]4.IGVA'!R313:R326)</f>
        <v>522454.01172841823</v>
      </c>
      <c r="V54" s="630">
        <f ca="1">SUM('[3]4.IGVA'!S313:S326)</f>
        <v>536426.13384990487</v>
      </c>
      <c r="W54" s="630">
        <f ca="1">SUM('[3]4.IGVA'!T313:T326)</f>
        <v>550891.40514015476</v>
      </c>
      <c r="X54" s="629">
        <f ca="1">SUM('[3]4.IGVA'!U313:U326)</f>
        <v>565658.39512487128</v>
      </c>
    </row>
    <row r="55" spans="1:24" s="54" customFormat="1" ht="15" customHeight="1" x14ac:dyDescent="0.25">
      <c r="B55" s="333" t="s">
        <v>362</v>
      </c>
      <c r="C55" s="292" t="s">
        <v>36</v>
      </c>
      <c r="G55" s="409">
        <f>G56-SUM(G54,G53)</f>
        <v>29634</v>
      </c>
      <c r="H55" s="409">
        <f>H56-SUM(H54,H53)</f>
        <v>30811</v>
      </c>
      <c r="I55" s="409">
        <f t="shared" ref="I55:N55" si="22">I56-SUM(I54,I53)</f>
        <v>31803</v>
      </c>
      <c r="J55" s="409">
        <f t="shared" si="22"/>
        <v>31925</v>
      </c>
      <c r="K55" s="409">
        <f t="shared" si="22"/>
        <v>32160</v>
      </c>
      <c r="L55" s="409">
        <f t="shared" si="22"/>
        <v>32436</v>
      </c>
      <c r="M55" s="409">
        <f t="shared" si="22"/>
        <v>33163</v>
      </c>
      <c r="N55" s="414">
        <f t="shared" si="22"/>
        <v>32648</v>
      </c>
      <c r="O55" s="486">
        <f ca="1">O56-SUM(O54,O53)</f>
        <v>32761.909999983793</v>
      </c>
      <c r="P55" s="524">
        <f t="shared" ref="P55:X55" ca="1" si="23">P56-SUM(P54,P53)</f>
        <v>32824.153256587335</v>
      </c>
      <c r="Q55" s="409">
        <f t="shared" ca="1" si="23"/>
        <v>32839.055248910619</v>
      </c>
      <c r="R55" s="409">
        <f t="shared" ca="1" si="23"/>
        <v>32814.721076502756</v>
      </c>
      <c r="S55" s="409">
        <f t="shared" ca="1" si="23"/>
        <v>32791.323651911924</v>
      </c>
      <c r="T55" s="409">
        <f t="shared" ca="1" si="23"/>
        <v>32847.560047079402</v>
      </c>
      <c r="U55" s="409">
        <f t="shared" ca="1" si="23"/>
        <v>32800.768359632115</v>
      </c>
      <c r="V55" s="409">
        <f t="shared" ca="1" si="23"/>
        <v>32657.129223244265</v>
      </c>
      <c r="W55" s="409">
        <f t="shared" ca="1" si="23"/>
        <v>32515.147733199061</v>
      </c>
      <c r="X55" s="414">
        <f t="shared" ca="1" si="23"/>
        <v>32394.115871582762</v>
      </c>
    </row>
    <row r="56" spans="1:24" s="54" customFormat="1" ht="15" customHeight="1" x14ac:dyDescent="0.25">
      <c r="A56" s="242"/>
      <c r="B56" s="416" t="s">
        <v>347</v>
      </c>
      <c r="C56" s="293" t="s">
        <v>36</v>
      </c>
      <c r="D56" s="242"/>
      <c r="E56" s="242"/>
      <c r="F56" s="242"/>
      <c r="G56" s="417">
        <f>'[9]4.IGVA'!D333</f>
        <v>409577</v>
      </c>
      <c r="H56" s="417">
        <f>'[9]4.IGVA'!E333</f>
        <v>417751</v>
      </c>
      <c r="I56" s="417">
        <f>'[9]4.IGVA'!F333</f>
        <v>429129</v>
      </c>
      <c r="J56" s="417">
        <f>'[9]4.IGVA'!G333</f>
        <v>433894</v>
      </c>
      <c r="K56" s="417">
        <f>'[9]4.IGVA'!H333</f>
        <v>441855</v>
      </c>
      <c r="L56" s="417">
        <f>'[9]4.IGVA'!I333</f>
        <v>452128</v>
      </c>
      <c r="M56" s="417">
        <f>'[9]4.IGVA'!J333</f>
        <v>462831</v>
      </c>
      <c r="N56" s="418">
        <f>'[9]4.IGVA'!K333</f>
        <v>471354</v>
      </c>
      <c r="O56" s="631">
        <f ca="1">'[3]3.Macro'!P14</f>
        <v>483126.72604559996</v>
      </c>
      <c r="P56" s="632">
        <f ca="1">'[3]3.Macro'!Q14</f>
        <v>494345.26681308704</v>
      </c>
      <c r="Q56" s="635">
        <f ca="1">'[3]3.Macro'!R14</f>
        <v>505701.86062758404</v>
      </c>
      <c r="R56" s="635">
        <f ca="1">'[3]3.Macro'!S14</f>
        <v>517464.789326898</v>
      </c>
      <c r="S56" s="635">
        <f ca="1">'[3]3.Macro'!T14</f>
        <v>530140.86553864426</v>
      </c>
      <c r="T56" s="635">
        <f ca="1">'[3]3.Macro'!U14</f>
        <v>542927.28006048419</v>
      </c>
      <c r="U56" s="635">
        <f ca="1">'[3]3.Macro'!V14</f>
        <v>556029.79840291187</v>
      </c>
      <c r="V56" s="635">
        <f ca="1">'[3]3.Macro'!W14</f>
        <v>569865.82149445056</v>
      </c>
      <c r="W56" s="635">
        <f ca="1">'[3]3.Macro'!X14</f>
        <v>584196.69320022874</v>
      </c>
      <c r="X56" s="633">
        <f ca="1">'[3]3.Macro'!Y14</f>
        <v>598850.39095411671</v>
      </c>
    </row>
    <row r="57" spans="1:24" s="54" customFormat="1" ht="12.75" customHeight="1" x14ac:dyDescent="0.25">
      <c r="B57" s="333"/>
      <c r="C57" s="300"/>
      <c r="N57" s="204"/>
      <c r="O57" s="435"/>
      <c r="P57" s="295"/>
      <c r="Q57" s="295"/>
      <c r="R57" s="295"/>
      <c r="S57" s="295"/>
      <c r="T57" s="295"/>
      <c r="U57" s="295"/>
      <c r="V57" s="295"/>
      <c r="W57" s="295"/>
      <c r="X57" s="300"/>
    </row>
    <row r="58" spans="1:24" s="54" customFormat="1" ht="21" customHeight="1" x14ac:dyDescent="0.35">
      <c r="B58" s="484" t="s">
        <v>350</v>
      </c>
      <c r="C58" s="334"/>
      <c r="N58" s="204"/>
      <c r="O58" s="435"/>
      <c r="P58" s="295"/>
      <c r="Q58" s="295"/>
      <c r="R58" s="295"/>
      <c r="S58" s="295"/>
      <c r="T58" s="295"/>
      <c r="U58" s="295"/>
      <c r="V58" s="295"/>
      <c r="W58" s="295"/>
      <c r="X58" s="300"/>
    </row>
    <row r="59" spans="1:24" s="54" customFormat="1" ht="15" customHeight="1" x14ac:dyDescent="0.25">
      <c r="B59" s="56" t="s">
        <v>348</v>
      </c>
      <c r="C59" s="292" t="s">
        <v>36</v>
      </c>
      <c r="N59" s="204"/>
      <c r="O59" s="496"/>
      <c r="P59" s="638">
        <f ca="1">P32+'[3]6.TaxRev'!L986</f>
        <v>27081.351600000002</v>
      </c>
      <c r="Q59" s="467">
        <f ca="1">Q32+'[3]6.TaxRev'!M986</f>
        <v>27970.661999999997</v>
      </c>
      <c r="R59" s="467">
        <f ca="1">R32+'[3]6.TaxRev'!N986</f>
        <v>28859.985359999995</v>
      </c>
      <c r="S59" s="467">
        <f ca="1">S32+'[3]6.TaxRev'!O986</f>
        <v>29749.349959999996</v>
      </c>
      <c r="T59" s="467">
        <f ca="1">T32+'[3]6.TaxRev'!P986</f>
        <v>30638.710459999998</v>
      </c>
      <c r="U59" s="467">
        <f ca="1">U32+'[3]6.TaxRev'!Q986</f>
        <v>31528.095259999998</v>
      </c>
      <c r="V59" s="467">
        <f ca="1">V32+'[3]6.TaxRev'!R986</f>
        <v>32417.441859999999</v>
      </c>
      <c r="W59" s="467">
        <f ca="1">W32+'[3]6.TaxRev'!S986</f>
        <v>33306.884659999996</v>
      </c>
      <c r="X59" s="469">
        <f ca="1">X32+'[3]6.TaxRev'!T986</f>
        <v>34196.347159999998</v>
      </c>
    </row>
    <row r="60" spans="1:24" s="54" customFormat="1" ht="15" customHeight="1" x14ac:dyDescent="0.25">
      <c r="B60" s="56" t="s">
        <v>333</v>
      </c>
      <c r="C60" s="292"/>
      <c r="N60" s="204"/>
      <c r="O60" s="435"/>
      <c r="P60" s="295"/>
      <c r="Q60" s="295"/>
      <c r="R60" s="295"/>
      <c r="S60" s="295"/>
      <c r="T60" s="295"/>
      <c r="U60" s="295"/>
      <c r="V60" s="295"/>
      <c r="W60" s="295"/>
      <c r="X60" s="300"/>
    </row>
    <row r="61" spans="1:24" s="54" customFormat="1" ht="15" customHeight="1" x14ac:dyDescent="0.25">
      <c r="B61" s="333" t="s">
        <v>334</v>
      </c>
      <c r="C61" s="292" t="s">
        <v>36</v>
      </c>
      <c r="N61" s="204"/>
      <c r="O61" s="435"/>
      <c r="P61" s="295"/>
      <c r="Q61" s="295"/>
      <c r="R61" s="295"/>
      <c r="S61" s="295"/>
      <c r="T61" s="295"/>
      <c r="U61" s="295"/>
      <c r="V61" s="295"/>
      <c r="W61" s="295"/>
      <c r="X61" s="300"/>
    </row>
    <row r="62" spans="1:24" s="54" customFormat="1" ht="15" customHeight="1" x14ac:dyDescent="0.25">
      <c r="B62" s="333" t="s">
        <v>331</v>
      </c>
      <c r="C62" s="292" t="s">
        <v>36</v>
      </c>
      <c r="N62" s="204"/>
      <c r="O62" s="435"/>
      <c r="P62" s="40"/>
      <c r="Q62" s="40"/>
      <c r="R62" s="40"/>
      <c r="S62" s="40"/>
      <c r="T62" s="40"/>
      <c r="U62" s="40"/>
      <c r="V62" s="40"/>
      <c r="W62" s="40"/>
      <c r="X62" s="25"/>
    </row>
    <row r="63" spans="1:24" s="54" customFormat="1" ht="15" customHeight="1" x14ac:dyDescent="0.25">
      <c r="B63" s="333" t="s">
        <v>335</v>
      </c>
      <c r="C63" s="292" t="s">
        <v>36</v>
      </c>
      <c r="N63" s="204"/>
      <c r="O63" s="435"/>
      <c r="P63" s="295"/>
      <c r="Q63" s="295"/>
      <c r="R63" s="295"/>
      <c r="S63" s="295"/>
      <c r="T63" s="295"/>
      <c r="U63" s="295"/>
      <c r="V63" s="295"/>
      <c r="W63" s="295"/>
      <c r="X63" s="300"/>
    </row>
    <row r="64" spans="1:24" s="54" customFormat="1" ht="15" customHeight="1" x14ac:dyDescent="0.25">
      <c r="B64" s="333" t="s">
        <v>345</v>
      </c>
      <c r="C64" s="292" t="s">
        <v>36</v>
      </c>
      <c r="N64" s="204"/>
      <c r="O64" s="435"/>
      <c r="P64" s="295"/>
      <c r="Q64" s="295"/>
      <c r="R64" s="295"/>
      <c r="S64" s="295"/>
      <c r="T64" s="295"/>
      <c r="U64" s="295"/>
      <c r="V64" s="295"/>
      <c r="W64" s="295"/>
      <c r="X64" s="300"/>
    </row>
    <row r="65" spans="2:26" s="54" customFormat="1" ht="15" customHeight="1" x14ac:dyDescent="0.25">
      <c r="B65" s="56" t="s">
        <v>336</v>
      </c>
      <c r="C65" s="292"/>
      <c r="N65" s="204"/>
      <c r="O65" s="435"/>
      <c r="P65" s="295"/>
      <c r="Q65" s="295"/>
      <c r="R65" s="295"/>
      <c r="S65" s="295"/>
      <c r="T65" s="295"/>
      <c r="U65" s="295"/>
      <c r="V65" s="295"/>
      <c r="W65" s="295"/>
      <c r="X65" s="300"/>
    </row>
    <row r="66" spans="2:26" s="54" customFormat="1" ht="15" customHeight="1" x14ac:dyDescent="0.25">
      <c r="B66" s="333" t="s">
        <v>337</v>
      </c>
      <c r="C66" s="292" t="s">
        <v>36</v>
      </c>
      <c r="N66" s="204"/>
      <c r="O66" s="435"/>
      <c r="P66" s="53">
        <f>P77/$Z66</f>
        <v>3921.7602206550478</v>
      </c>
      <c r="Q66" s="53">
        <f t="shared" ref="Q66:W66" si="24">Q77/$Z66</f>
        <v>3947.5254502806888</v>
      </c>
      <c r="R66" s="53">
        <f t="shared" si="24"/>
        <v>3984.9080164818301</v>
      </c>
      <c r="S66" s="53">
        <f t="shared" si="24"/>
        <v>4022.8332915062792</v>
      </c>
      <c r="T66" s="53">
        <f t="shared" si="24"/>
        <v>4061.2409931213142</v>
      </c>
      <c r="U66" s="53">
        <f t="shared" si="24"/>
        <v>4100.0727599729034</v>
      </c>
      <c r="V66" s="53">
        <f t="shared" si="24"/>
        <v>4139.2840317455448</v>
      </c>
      <c r="W66" s="53">
        <f t="shared" si="24"/>
        <v>4178.8351244268079</v>
      </c>
      <c r="X66" s="150">
        <f>X77/$Z66</f>
        <v>4218.6928917596906</v>
      </c>
      <c r="Z66" s="535">
        <v>0.15608419343215915</v>
      </c>
    </row>
    <row r="67" spans="2:26" s="54" customFormat="1" ht="15" customHeight="1" x14ac:dyDescent="0.25">
      <c r="B67" s="333" t="s">
        <v>338</v>
      </c>
      <c r="C67" s="292" t="s">
        <v>36</v>
      </c>
      <c r="N67" s="204"/>
      <c r="O67" s="435"/>
      <c r="P67" s="53">
        <f t="shared" ref="P67:X68" si="25">P78/$Z67</f>
        <v>1018.9110012818524</v>
      </c>
      <c r="Q67" s="53">
        <f t="shared" si="25"/>
        <v>1001.1170138639475</v>
      </c>
      <c r="R67" s="53">
        <f t="shared" si="25"/>
        <v>1014.6457854450751</v>
      </c>
      <c r="S67" s="53">
        <f t="shared" si="25"/>
        <v>1023.2700022710056</v>
      </c>
      <c r="T67" s="53">
        <f t="shared" si="25"/>
        <v>1038.8917461645926</v>
      </c>
      <c r="U67" s="53">
        <f t="shared" si="25"/>
        <v>1051.671961331331</v>
      </c>
      <c r="V67" s="53">
        <f t="shared" si="25"/>
        <v>1064.4281291922775</v>
      </c>
      <c r="W67" s="53">
        <f t="shared" si="25"/>
        <v>1077.3007740558105</v>
      </c>
      <c r="X67" s="150">
        <f t="shared" si="25"/>
        <v>1091.2559344129124</v>
      </c>
      <c r="Z67" s="535">
        <v>0.11236592814369896</v>
      </c>
    </row>
    <row r="68" spans="2:26" s="54" customFormat="1" ht="15" customHeight="1" x14ac:dyDescent="0.25">
      <c r="B68" s="333" t="s">
        <v>339</v>
      </c>
      <c r="C68" s="292" t="s">
        <v>36</v>
      </c>
      <c r="N68" s="204"/>
      <c r="O68" s="435"/>
      <c r="P68" s="53">
        <f t="shared" si="25"/>
        <v>660.35932596250461</v>
      </c>
      <c r="Q68" s="53">
        <f t="shared" si="25"/>
        <v>652.40455747640567</v>
      </c>
      <c r="R68" s="53">
        <f t="shared" si="25"/>
        <v>644.44860296534637</v>
      </c>
      <c r="S68" s="53">
        <f t="shared" si="25"/>
        <v>636.49219565190594</v>
      </c>
      <c r="T68" s="53">
        <f t="shared" si="25"/>
        <v>628.53585726357096</v>
      </c>
      <c r="U68" s="53">
        <f t="shared" si="25"/>
        <v>620.578685033336</v>
      </c>
      <c r="V68" s="53">
        <f t="shared" si="25"/>
        <v>612.62061697318677</v>
      </c>
      <c r="W68" s="53">
        <f t="shared" si="25"/>
        <v>604.66130844156476</v>
      </c>
      <c r="X68" s="150">
        <f t="shared" si="25"/>
        <v>596.70058845050391</v>
      </c>
      <c r="Z68" s="535">
        <v>1.9799048340239319E-2</v>
      </c>
    </row>
    <row r="69" spans="2:26" s="54" customFormat="1" ht="15" customHeight="1" x14ac:dyDescent="0.25">
      <c r="B69" s="333" t="s">
        <v>346</v>
      </c>
      <c r="C69" s="292" t="s">
        <v>36</v>
      </c>
      <c r="N69" s="204"/>
      <c r="O69" s="435"/>
      <c r="P69" s="53">
        <f>SUM(P66:P68)</f>
        <v>5601.0305478994051</v>
      </c>
      <c r="Q69" s="53">
        <f>SUM(Q66:Q68)</f>
        <v>5601.0470216210424</v>
      </c>
      <c r="R69" s="53">
        <f t="shared" ref="R69:W69" si="26">SUM(R66:R68)</f>
        <v>5644.0024048922514</v>
      </c>
      <c r="S69" s="53">
        <f t="shared" si="26"/>
        <v>5682.5954894291908</v>
      </c>
      <c r="T69" s="53">
        <f t="shared" si="26"/>
        <v>5728.668596549478</v>
      </c>
      <c r="U69" s="53">
        <f t="shared" si="26"/>
        <v>5772.3234063375703</v>
      </c>
      <c r="V69" s="53">
        <f t="shared" si="26"/>
        <v>5816.3327779110095</v>
      </c>
      <c r="W69" s="53">
        <f t="shared" si="26"/>
        <v>5860.7972069241832</v>
      </c>
      <c r="X69" s="150">
        <f>SUM(X66:X68)</f>
        <v>5906.6494146231071</v>
      </c>
    </row>
    <row r="70" spans="2:26" s="54" customFormat="1" ht="15" customHeight="1" x14ac:dyDescent="0.25">
      <c r="B70" s="56" t="s">
        <v>343</v>
      </c>
      <c r="C70" s="292"/>
      <c r="N70" s="204"/>
      <c r="O70" s="435"/>
      <c r="P70" s="295"/>
      <c r="Q70" s="295"/>
      <c r="R70" s="295"/>
      <c r="S70" s="295"/>
      <c r="T70" s="295"/>
      <c r="U70" s="295"/>
      <c r="V70" s="295"/>
      <c r="W70" s="295"/>
      <c r="X70" s="300"/>
    </row>
    <row r="71" spans="2:26" s="54" customFormat="1" ht="15" customHeight="1" x14ac:dyDescent="0.25">
      <c r="B71" s="333" t="s">
        <v>340</v>
      </c>
      <c r="C71" s="292" t="s">
        <v>252</v>
      </c>
      <c r="N71" s="204"/>
      <c r="O71" s="435"/>
      <c r="P71" s="640">
        <f>'[3]5.Employ'!M328*1000</f>
        <v>5101.1418705854812</v>
      </c>
      <c r="Q71" s="640">
        <f>'[3]5.Employ'!N328*1000</f>
        <v>5134.721459663685</v>
      </c>
      <c r="R71" s="640">
        <f>'[3]5.Employ'!O328*1000</f>
        <v>5183.3955939503994</v>
      </c>
      <c r="S71" s="640">
        <f>'[3]5.Employ'!P328*1000</f>
        <v>5232.7628126782283</v>
      </c>
      <c r="T71" s="640">
        <f>'[3]5.Employ'!Q328*1000</f>
        <v>5282.7436512096165</v>
      </c>
      <c r="U71" s="640">
        <f>'[3]5.Employ'!R328*1000</f>
        <v>5333.2665111913193</v>
      </c>
      <c r="V71" s="640">
        <f>'[3]5.Employ'!S328*1000</f>
        <v>5384.275025331217</v>
      </c>
      <c r="W71" s="640">
        <f>'[3]5.Employ'!T328*1000</f>
        <v>5435.7190762285554</v>
      </c>
      <c r="X71" s="641">
        <f>'[3]5.Employ'!U328*1000</f>
        <v>5487.5568084259576</v>
      </c>
    </row>
    <row r="72" spans="2:26" s="54" customFormat="1" ht="15" customHeight="1" x14ac:dyDescent="0.25">
      <c r="B72" s="333" t="s">
        <v>341</v>
      </c>
      <c r="C72" s="292" t="s">
        <v>252</v>
      </c>
      <c r="N72" s="204"/>
      <c r="O72" s="435"/>
      <c r="P72" s="640">
        <f>'[3]5.Employ'!M329*1000</f>
        <v>866.48540609809197</v>
      </c>
      <c r="Q72" s="640">
        <f>'[3]5.Employ'!N329*1000</f>
        <v>852.5668069788104</v>
      </c>
      <c r="R72" s="640">
        <f>'[3]5.Employ'!O329*1000</f>
        <v>866.71727786892586</v>
      </c>
      <c r="S72" s="640">
        <f>'[3]5.Employ'!P329*1000</f>
        <v>876.46332363681256</v>
      </c>
      <c r="T72" s="640">
        <f>'[3]5.Employ'!Q329*1000</f>
        <v>891.23934761421265</v>
      </c>
      <c r="U72" s="640">
        <f>'[3]5.Employ'!R329*1000</f>
        <v>903.67311033228373</v>
      </c>
      <c r="V72" s="640">
        <f>'[3]5.Employ'!S329*1000</f>
        <v>916.07282870967401</v>
      </c>
      <c r="W72" s="640">
        <f>'[3]5.Employ'!T329*1000</f>
        <v>928.57611502235238</v>
      </c>
      <c r="X72" s="641">
        <f>'[3]5.Employ'!U329*1000</f>
        <v>941.80802758055518</v>
      </c>
    </row>
    <row r="73" spans="2:26" s="54" customFormat="1" ht="15" customHeight="1" x14ac:dyDescent="0.25">
      <c r="B73" s="333" t="s">
        <v>342</v>
      </c>
      <c r="C73" s="292" t="s">
        <v>252</v>
      </c>
      <c r="N73" s="204"/>
      <c r="O73" s="435"/>
      <c r="P73" s="640">
        <f>'[3]5.Employ'!M330*1000</f>
        <v>110.8984594476122</v>
      </c>
      <c r="Q73" s="640">
        <f>'[3]5.Employ'!N330*1000</f>
        <v>109.56397238004602</v>
      </c>
      <c r="R73" s="640">
        <f>'[3]5.Employ'!O330*1000</f>
        <v>108.22888226832582</v>
      </c>
      <c r="S73" s="640">
        <f>'[3]5.Employ'!P330*1000</f>
        <v>106.89340951076905</v>
      </c>
      <c r="T73" s="640">
        <f>'[3]5.Employ'!Q330*1000</f>
        <v>105.55763876631283</v>
      </c>
      <c r="U73" s="640">
        <f>'[3]5.Employ'!R330*1000</f>
        <v>104.22152177310473</v>
      </c>
      <c r="V73" s="640">
        <f>'[3]5.Employ'!S330*1000</f>
        <v>102.88509148377099</v>
      </c>
      <c r="W73" s="640">
        <f>'[3]5.Employ'!T330*1000</f>
        <v>101.54832855100859</v>
      </c>
      <c r="X73" s="641">
        <f>'[3]5.Employ'!U330*1000</f>
        <v>100.21123552838955</v>
      </c>
    </row>
    <row r="74" spans="2:26" s="54" customFormat="1" ht="15" customHeight="1" x14ac:dyDescent="0.25">
      <c r="B74" s="333" t="s">
        <v>345</v>
      </c>
      <c r="C74" s="292" t="s">
        <v>252</v>
      </c>
      <c r="N74" s="204"/>
      <c r="O74" s="435"/>
      <c r="P74" s="405">
        <f>SUM(P71:P73)</f>
        <v>6078.525736131186</v>
      </c>
      <c r="Q74" s="405">
        <f t="shared" ref="Q74:X74" si="27">SUM(Q71:Q73)</f>
        <v>6096.8522390225417</v>
      </c>
      <c r="R74" s="405">
        <f t="shared" si="27"/>
        <v>6158.3417540876508</v>
      </c>
      <c r="S74" s="405">
        <f t="shared" si="27"/>
        <v>6216.1195458258098</v>
      </c>
      <c r="T74" s="405">
        <f t="shared" si="27"/>
        <v>6279.5406375901421</v>
      </c>
      <c r="U74" s="405">
        <f t="shared" si="27"/>
        <v>6341.1611432967075</v>
      </c>
      <c r="V74" s="405">
        <f t="shared" si="27"/>
        <v>6403.2329455246618</v>
      </c>
      <c r="W74" s="405">
        <f t="shared" si="27"/>
        <v>6465.843519801917</v>
      </c>
      <c r="X74" s="411">
        <f t="shared" si="27"/>
        <v>6529.5760715349024</v>
      </c>
    </row>
    <row r="75" spans="2:26" s="54" customFormat="1" ht="15" customHeight="1" x14ac:dyDescent="0.25">
      <c r="B75" s="333" t="s">
        <v>344</v>
      </c>
      <c r="C75" s="292" t="s">
        <v>252</v>
      </c>
      <c r="N75" s="204"/>
      <c r="O75" s="435"/>
      <c r="P75" s="640">
        <f ca="1">SUM('[3]5.Employ'!M314:M326)*1000</f>
        <v>3874723.7487916867</v>
      </c>
      <c r="Q75" s="640">
        <f ca="1">SUM('[3]5.Employ'!N314:N326)*1000</f>
        <v>3917168.1097862623</v>
      </c>
      <c r="R75" s="640">
        <f ca="1">SUM('[3]5.Employ'!O314:O326)*1000</f>
        <v>3956583.2319505624</v>
      </c>
      <c r="S75" s="640">
        <f ca="1">SUM('[3]5.Employ'!P314:P326)*1000</f>
        <v>3994597.1648662346</v>
      </c>
      <c r="T75" s="640">
        <f ca="1">SUM('[3]5.Employ'!Q314:Q326)*1000</f>
        <v>4031116.1051725047</v>
      </c>
      <c r="U75" s="640">
        <f ca="1">SUM('[3]5.Employ'!R314:R326)*1000</f>
        <v>4066208.1858761818</v>
      </c>
      <c r="V75" s="640">
        <f ca="1">SUM('[3]5.Employ'!S314:S326)*1000</f>
        <v>4103137.5232756864</v>
      </c>
      <c r="W75" s="640">
        <f ca="1">SUM('[3]5.Employ'!T314:T326)*1000</f>
        <v>4140261.2875202806</v>
      </c>
      <c r="X75" s="641">
        <f ca="1">SUM('[3]5.Employ'!U314:U326)*1000</f>
        <v>4177635.0372644793</v>
      </c>
    </row>
    <row r="76" spans="2:26" s="54" customFormat="1" ht="15" customHeight="1" x14ac:dyDescent="0.25">
      <c r="B76" s="56" t="s">
        <v>325</v>
      </c>
      <c r="C76" s="292"/>
      <c r="N76" s="204"/>
      <c r="O76" s="435"/>
      <c r="P76" s="295"/>
      <c r="Q76" s="295"/>
      <c r="R76" s="295"/>
      <c r="S76" s="295"/>
      <c r="T76" s="295"/>
      <c r="U76" s="295"/>
      <c r="V76" s="295"/>
      <c r="W76" s="295"/>
      <c r="X76" s="300"/>
    </row>
    <row r="77" spans="2:26" s="54" customFormat="1" ht="15" customHeight="1" x14ac:dyDescent="0.25">
      <c r="B77" s="333" t="s">
        <v>340</v>
      </c>
      <c r="C77" s="292" t="s">
        <v>36</v>
      </c>
      <c r="N77" s="204"/>
      <c r="O77" s="435"/>
      <c r="P77" s="243">
        <f>'[3]4.IGVA'!M391</f>
        <v>612.12478087526961</v>
      </c>
      <c r="Q77" s="243">
        <f>'[3]4.IGVA'!N391</f>
        <v>616.14632595998216</v>
      </c>
      <c r="R77" s="243">
        <f>'[3]4.IGVA'!O391</f>
        <v>621.98115365391163</v>
      </c>
      <c r="S77" s="243">
        <f>'[3]4.IGVA'!P391</f>
        <v>627.9006896167956</v>
      </c>
      <c r="T77" s="243">
        <f>'[3]4.IGVA'!Q391</f>
        <v>633.89552474496134</v>
      </c>
      <c r="U77" s="243">
        <f>'[3]4.IGVA'!R391</f>
        <v>639.95654975353727</v>
      </c>
      <c r="V77" s="243">
        <f>'[3]4.IGVA'!S391</f>
        <v>646.07680948161919</v>
      </c>
      <c r="W77" s="243">
        <f>'[3]4.IGVA'!T391</f>
        <v>652.25010988213467</v>
      </c>
      <c r="X77" s="252">
        <f>'[3]4.IGVA'!U391</f>
        <v>658.47127734829439</v>
      </c>
    </row>
    <row r="78" spans="2:26" s="54" customFormat="1" ht="15" customHeight="1" x14ac:dyDescent="0.25">
      <c r="B78" s="333" t="s">
        <v>341</v>
      </c>
      <c r="C78" s="292" t="s">
        <v>36</v>
      </c>
      <c r="N78" s="204"/>
      <c r="O78" s="435"/>
      <c r="P78" s="243">
        <f>'[3]4.IGVA'!M392</f>
        <v>114.49088035486098</v>
      </c>
      <c r="Q78" s="243">
        <f>'[3]4.IGVA'!N392</f>
        <v>112.4914424432708</v>
      </c>
      <c r="R78" s="243">
        <f>'[3]4.IGVA'!O392</f>
        <v>114.01161541862831</v>
      </c>
      <c r="S78" s="243">
        <f>'[3]4.IGVA'!P392</f>
        <v>114.98068354678649</v>
      </c>
      <c r="T78" s="243">
        <f>'[3]4.IGVA'!Q392</f>
        <v>116.73603529861255</v>
      </c>
      <c r="U78" s="243">
        <f>'[3]4.IGVA'!R392</f>
        <v>118.17209603769929</v>
      </c>
      <c r="V78" s="243">
        <f>'[3]4.IGVA'!S392</f>
        <v>119.60545467895138</v>
      </c>
      <c r="W78" s="243">
        <f>'[3]4.IGVA'!T392</f>
        <v>121.05190136670647</v>
      </c>
      <c r="X78" s="252">
        <f>'[3]4.IGVA'!U392</f>
        <v>122.61998591262638</v>
      </c>
    </row>
    <row r="79" spans="2:26" s="54" customFormat="1" ht="15" customHeight="1" x14ac:dyDescent="0.25">
      <c r="B79" s="333" t="s">
        <v>342</v>
      </c>
      <c r="C79" s="292" t="s">
        <v>36</v>
      </c>
      <c r="N79" s="204"/>
      <c r="O79" s="435"/>
      <c r="P79" s="243">
        <f>'[3]4.IGVA'!M393</f>
        <v>13.074486216659482</v>
      </c>
      <c r="Q79" s="243">
        <f>'[3]4.IGVA'!N393</f>
        <v>12.916989370867798</v>
      </c>
      <c r="R79" s="243">
        <f>'[3]4.IGVA'!O393</f>
        <v>12.759469042910588</v>
      </c>
      <c r="S79" s="243">
        <f>'[3]4.IGVA'!P393</f>
        <v>12.601939749897149</v>
      </c>
      <c r="T79" s="243">
        <f>'[3]4.IGVA'!Q393</f>
        <v>12.444411821535203</v>
      </c>
      <c r="U79" s="243">
        <f>'[3]4.IGVA'!R393</f>
        <v>12.286867383897169</v>
      </c>
      <c r="V79" s="243">
        <f>'[3]4.IGVA'!S393</f>
        <v>12.129305209679361</v>
      </c>
      <c r="W79" s="243">
        <f>'[3]4.IGVA'!T393</f>
        <v>11.971718475306897</v>
      </c>
      <c r="X79" s="252">
        <f>'[3]4.IGVA'!U393</f>
        <v>11.814103795380774</v>
      </c>
    </row>
    <row r="80" spans="2:26" s="54" customFormat="1" ht="15" customHeight="1" x14ac:dyDescent="0.25">
      <c r="B80" s="333" t="s">
        <v>345</v>
      </c>
      <c r="C80" s="292" t="s">
        <v>36</v>
      </c>
      <c r="N80" s="204"/>
      <c r="O80" s="435"/>
      <c r="P80" s="419">
        <f>SUM(P77:P79)</f>
        <v>739.69014744679009</v>
      </c>
      <c r="Q80" s="419">
        <f t="shared" ref="Q80:X80" si="28">SUM(Q77:Q79)</f>
        <v>741.55475777412073</v>
      </c>
      <c r="R80" s="419">
        <f t="shared" si="28"/>
        <v>748.7522381154505</v>
      </c>
      <c r="S80" s="419">
        <f t="shared" si="28"/>
        <v>755.48331291347927</v>
      </c>
      <c r="T80" s="419">
        <f t="shared" si="28"/>
        <v>763.07597186510918</v>
      </c>
      <c r="U80" s="419">
        <f t="shared" si="28"/>
        <v>770.4155131751337</v>
      </c>
      <c r="V80" s="419">
        <f t="shared" si="28"/>
        <v>777.81156937024991</v>
      </c>
      <c r="W80" s="419">
        <f t="shared" si="28"/>
        <v>785.2737297241481</v>
      </c>
      <c r="X80" s="424">
        <f t="shared" si="28"/>
        <v>792.90536705630154</v>
      </c>
    </row>
    <row r="81" spans="2:24" s="54" customFormat="1" ht="15" customHeight="1" x14ac:dyDescent="0.25">
      <c r="B81" s="333" t="s">
        <v>344</v>
      </c>
      <c r="C81" s="292" t="s">
        <v>36</v>
      </c>
      <c r="N81" s="204"/>
      <c r="O81" s="435"/>
      <c r="P81" s="634">
        <f ca="1">SUM('[3]4.IGVA'!M377:M390)</f>
        <v>460765.34070854884</v>
      </c>
      <c r="Q81" s="634">
        <f ca="1">SUM('[3]4.IGVA'!N377:N390)</f>
        <v>472111.98212332797</v>
      </c>
      <c r="R81" s="634">
        <f ca="1">SUM('[3]4.IGVA'!O377:O390)</f>
        <v>483896.66520274768</v>
      </c>
      <c r="S81" s="634">
        <f ca="1">SUM('[3]4.IGVA'!P377:P390)</f>
        <v>496592.44722419803</v>
      </c>
      <c r="T81" s="634">
        <f ca="1">SUM('[3]4.IGVA'!Q377:Q390)</f>
        <v>509317.26917017589</v>
      </c>
      <c r="U81" s="634">
        <f ca="1">SUM('[3]4.IGVA'!R377:R390)</f>
        <v>522460.74325070833</v>
      </c>
      <c r="V81" s="634">
        <f ca="1">SUM('[3]4.IGVA'!S377:S390)</f>
        <v>536434.33271258452</v>
      </c>
      <c r="W81" s="634">
        <f ca="1">SUM('[3]4.IGVA'!T377:T390)</f>
        <v>550900.60266048554</v>
      </c>
      <c r="X81" s="639">
        <f ca="1">SUM('[3]4.IGVA'!U377:U390)</f>
        <v>565668.44185095734</v>
      </c>
    </row>
    <row r="82" spans="2:24" s="54" customFormat="1" ht="15" customHeight="1" x14ac:dyDescent="0.25">
      <c r="B82" s="333" t="s">
        <v>362</v>
      </c>
      <c r="C82" s="292" t="s">
        <v>36</v>
      </c>
      <c r="N82" s="204"/>
      <c r="O82" s="435"/>
      <c r="P82" s="406">
        <f ca="1">P83-(SUM(P80:P81))</f>
        <v>32818.93006847275</v>
      </c>
      <c r="Q82" s="406">
        <f t="shared" ref="Q82:X82" ca="1" si="29">Q83-(SUM(Q80:Q81))</f>
        <v>32834.981337415928</v>
      </c>
      <c r="R82" s="406">
        <f t="shared" ca="1" si="29"/>
        <v>32811.3828359326</v>
      </c>
      <c r="S82" s="406">
        <f t="shared" ca="1" si="29"/>
        <v>32788.475936626724</v>
      </c>
      <c r="T82" s="406">
        <f t="shared" ca="1" si="29"/>
        <v>32845.337069672998</v>
      </c>
      <c r="U82" s="406">
        <f t="shared" ca="1" si="29"/>
        <v>32798.740591397102</v>
      </c>
      <c r="V82" s="406">
        <f t="shared" ca="1" si="29"/>
        <v>32655.0039427015</v>
      </c>
      <c r="W82" s="406">
        <f t="shared" ca="1" si="29"/>
        <v>32513.031705292989</v>
      </c>
      <c r="X82" s="415">
        <f t="shared" ca="1" si="29"/>
        <v>32392.015227392316</v>
      </c>
    </row>
    <row r="83" spans="2:24" s="54" customFormat="1" ht="15" customHeight="1" x14ac:dyDescent="0.25">
      <c r="B83" s="416" t="s">
        <v>347</v>
      </c>
      <c r="C83" s="293" t="s">
        <v>36</v>
      </c>
      <c r="D83" s="242"/>
      <c r="E83" s="242"/>
      <c r="F83" s="242"/>
      <c r="G83" s="242"/>
      <c r="H83" s="242"/>
      <c r="I83" s="242"/>
      <c r="J83" s="242"/>
      <c r="K83" s="242"/>
      <c r="L83" s="242"/>
      <c r="M83" s="242"/>
      <c r="N83" s="425"/>
      <c r="O83" s="440"/>
      <c r="P83" s="635">
        <f ca="1">'[3]3.Macro'!Q19</f>
        <v>494323.96092446841</v>
      </c>
      <c r="Q83" s="635">
        <f ca="1">'[3]3.Macro'!R19</f>
        <v>505688.518218518</v>
      </c>
      <c r="R83" s="635">
        <f ca="1">'[3]3.Macro'!S19</f>
        <v>517456.80027679575</v>
      </c>
      <c r="S83" s="635">
        <f ca="1">'[3]3.Macro'!T19</f>
        <v>530136.40647373826</v>
      </c>
      <c r="T83" s="635">
        <f ca="1">'[3]3.Macro'!U19</f>
        <v>542925.68221171398</v>
      </c>
      <c r="U83" s="635">
        <f ca="1">'[3]3.Macro'!V19</f>
        <v>556029.89935528056</v>
      </c>
      <c r="V83" s="635">
        <f ca="1">'[3]3.Macro'!W19</f>
        <v>569867.14822465624</v>
      </c>
      <c r="W83" s="635">
        <f ca="1">'[3]3.Macro'!X19</f>
        <v>584198.90809550264</v>
      </c>
      <c r="X83" s="633">
        <f ca="1">'[3]3.Macro'!Y19</f>
        <v>598853.36244540592</v>
      </c>
    </row>
    <row r="84" spans="2:24" s="54" customFormat="1" ht="15" customHeight="1" x14ac:dyDescent="0.25">
      <c r="B84" s="333"/>
      <c r="C84" s="300"/>
      <c r="N84" s="204"/>
      <c r="O84" s="435"/>
      <c r="P84" s="295"/>
      <c r="Q84" s="295"/>
      <c r="R84" s="295"/>
      <c r="S84" s="295"/>
      <c r="T84" s="295"/>
      <c r="U84" s="295"/>
      <c r="V84" s="295"/>
      <c r="W84" s="295"/>
      <c r="X84" s="427"/>
    </row>
    <row r="85" spans="2:24" s="54" customFormat="1" ht="22.5" customHeight="1" x14ac:dyDescent="0.35">
      <c r="B85" s="484" t="s">
        <v>363</v>
      </c>
      <c r="C85" s="334"/>
      <c r="N85" s="204"/>
      <c r="O85" s="435"/>
      <c r="P85" s="295"/>
      <c r="Q85" s="295"/>
      <c r="R85" s="295"/>
      <c r="S85" s="295"/>
      <c r="T85" s="295"/>
      <c r="U85" s="295"/>
      <c r="V85" s="295"/>
      <c r="W85" s="295"/>
      <c r="X85" s="300"/>
    </row>
    <row r="86" spans="2:24" s="54" customFormat="1" ht="15" customHeight="1" x14ac:dyDescent="0.25">
      <c r="B86" s="56" t="s">
        <v>348</v>
      </c>
      <c r="C86" s="292" t="s">
        <v>36</v>
      </c>
      <c r="N86" s="204"/>
      <c r="O86" s="435"/>
      <c r="P86" s="636">
        <f t="shared" ref="P86:X86" ca="1" si="30">P59-P32</f>
        <v>0.31160000000090804</v>
      </c>
      <c r="Q86" s="636">
        <f t="shared" ca="1" si="30"/>
        <v>0.20199999999749707</v>
      </c>
      <c r="R86" s="636">
        <f t="shared" ca="1" si="30"/>
        <v>0.10535999999774504</v>
      </c>
      <c r="S86" s="636">
        <f t="shared" ca="1" si="30"/>
        <v>4.995999999664491E-2</v>
      </c>
      <c r="T86" s="636">
        <f t="shared" ca="1" si="30"/>
        <v>-9.5400000027439091E-3</v>
      </c>
      <c r="U86" s="636">
        <f t="shared" ca="1" si="30"/>
        <v>-4.4740000001183944E-2</v>
      </c>
      <c r="V86" s="636">
        <f t="shared" ca="1" si="30"/>
        <v>-0.11813999999867519</v>
      </c>
      <c r="W86" s="636">
        <f t="shared" ca="1" si="30"/>
        <v>-9.5339999999850988E-2</v>
      </c>
      <c r="X86" s="637">
        <f t="shared" ca="1" si="30"/>
        <v>-5.2839999996649567E-2</v>
      </c>
    </row>
    <row r="87" spans="2:24" s="54" customFormat="1" ht="15" customHeight="1" x14ac:dyDescent="0.25">
      <c r="B87" s="56" t="s">
        <v>333</v>
      </c>
      <c r="C87" s="292"/>
      <c r="N87" s="204"/>
      <c r="O87" s="435"/>
      <c r="P87" s="295"/>
      <c r="Q87" s="295"/>
      <c r="R87" s="295"/>
      <c r="S87" s="295"/>
      <c r="T87" s="295"/>
      <c r="U87" s="295"/>
      <c r="V87" s="295"/>
      <c r="W87" s="295"/>
      <c r="X87" s="300"/>
    </row>
    <row r="88" spans="2:24" s="54" customFormat="1" ht="15" customHeight="1" x14ac:dyDescent="0.25">
      <c r="B88" s="333" t="s">
        <v>334</v>
      </c>
      <c r="C88" s="292" t="s">
        <v>36</v>
      </c>
      <c r="N88" s="204"/>
      <c r="O88" s="435"/>
      <c r="P88" s="295"/>
      <c r="Q88" s="295"/>
      <c r="R88" s="295"/>
      <c r="S88" s="295"/>
      <c r="T88" s="295"/>
      <c r="U88" s="295"/>
      <c r="V88" s="295"/>
      <c r="W88" s="295"/>
      <c r="X88" s="300"/>
    </row>
    <row r="89" spans="2:24" s="54" customFormat="1" ht="15" customHeight="1" x14ac:dyDescent="0.25">
      <c r="B89" s="333" t="s">
        <v>331</v>
      </c>
      <c r="C89" s="292" t="s">
        <v>36</v>
      </c>
      <c r="N89" s="204"/>
      <c r="O89" s="435"/>
      <c r="P89" s="40"/>
      <c r="Q89" s="40"/>
      <c r="R89" s="40"/>
      <c r="S89" s="40"/>
      <c r="T89" s="40"/>
      <c r="U89" s="40"/>
      <c r="V89" s="40"/>
      <c r="W89" s="40"/>
      <c r="X89" s="25"/>
    </row>
    <row r="90" spans="2:24" s="54" customFormat="1" ht="15" customHeight="1" x14ac:dyDescent="0.25">
      <c r="B90" s="333" t="s">
        <v>335</v>
      </c>
      <c r="C90" s="292" t="s">
        <v>36</v>
      </c>
      <c r="N90" s="204"/>
      <c r="O90" s="435"/>
      <c r="P90" s="295"/>
      <c r="Q90" s="295"/>
      <c r="R90" s="295"/>
      <c r="S90" s="295"/>
      <c r="T90" s="295"/>
      <c r="U90" s="295"/>
      <c r="V90" s="295"/>
      <c r="W90" s="295"/>
      <c r="X90" s="300"/>
    </row>
    <row r="91" spans="2:24" s="54" customFormat="1" ht="15" customHeight="1" x14ac:dyDescent="0.25">
      <c r="B91" s="333" t="s">
        <v>345</v>
      </c>
      <c r="C91" s="292" t="s">
        <v>36</v>
      </c>
      <c r="N91" s="204"/>
      <c r="O91" s="435"/>
      <c r="P91" s="295"/>
      <c r="Q91" s="295"/>
      <c r="R91" s="295"/>
      <c r="S91" s="295"/>
      <c r="T91" s="295"/>
      <c r="U91" s="295"/>
      <c r="V91" s="295"/>
      <c r="W91" s="295"/>
      <c r="X91" s="300"/>
    </row>
    <row r="92" spans="2:24" s="54" customFormat="1" ht="15" customHeight="1" x14ac:dyDescent="0.25">
      <c r="B92" s="56" t="s">
        <v>336</v>
      </c>
      <c r="C92" s="292"/>
      <c r="N92" s="204"/>
      <c r="O92" s="435"/>
      <c r="P92" s="295"/>
      <c r="Q92" s="295"/>
      <c r="R92" s="295"/>
      <c r="S92" s="295"/>
      <c r="T92" s="295"/>
      <c r="U92" s="295"/>
      <c r="V92" s="295"/>
      <c r="W92" s="295"/>
      <c r="X92" s="300"/>
    </row>
    <row r="93" spans="2:24" s="54" customFormat="1" ht="15" customHeight="1" x14ac:dyDescent="0.25">
      <c r="B93" s="333" t="s">
        <v>337</v>
      </c>
      <c r="C93" s="292" t="s">
        <v>36</v>
      </c>
      <c r="N93" s="204"/>
      <c r="O93" s="435"/>
      <c r="P93" s="53">
        <f>P66-P39</f>
        <v>-20.668380409706515</v>
      </c>
      <c r="Q93" s="53">
        <f>Q66-Q39</f>
        <v>-31.910809063863326</v>
      </c>
      <c r="R93" s="53">
        <f>R66-R39</f>
        <v>-32.10163127626538</v>
      </c>
      <c r="S93" s="53">
        <f t="shared" ref="S93:X93" si="31">S66-S39</f>
        <v>-32.242395814001156</v>
      </c>
      <c r="T93" s="53">
        <f t="shared" si="31"/>
        <v>-32.333611026067956</v>
      </c>
      <c r="U93" s="53">
        <f t="shared" si="31"/>
        <v>-32.384123603780608</v>
      </c>
      <c r="V93" s="53">
        <f t="shared" si="31"/>
        <v>-32.397017158647031</v>
      </c>
      <c r="W93" s="53">
        <f t="shared" si="31"/>
        <v>-32.376886118120638</v>
      </c>
      <c r="X93" s="150">
        <f t="shared" si="31"/>
        <v>-32.32692662809859</v>
      </c>
    </row>
    <row r="94" spans="2:24" s="54" customFormat="1" ht="15" customHeight="1" x14ac:dyDescent="0.25">
      <c r="B94" s="333" t="s">
        <v>338</v>
      </c>
      <c r="C94" s="292" t="s">
        <v>36</v>
      </c>
      <c r="N94" s="204"/>
      <c r="O94" s="435"/>
      <c r="P94" s="53">
        <f>P67-P40</f>
        <v>-35.430998718147521</v>
      </c>
      <c r="Q94" s="53">
        <f t="shared" ref="Q94:X94" si="32">Q67-Q40</f>
        <v>-36.213986136052426</v>
      </c>
      <c r="R94" s="53">
        <f t="shared" si="32"/>
        <v>-37.674214554924788</v>
      </c>
      <c r="S94" s="53">
        <f t="shared" si="32"/>
        <v>-39.647747728994432</v>
      </c>
      <c r="T94" s="53">
        <f t="shared" si="32"/>
        <v>-42.308441335407224</v>
      </c>
      <c r="U94" s="53">
        <f t="shared" si="32"/>
        <v>-44.242773043669104</v>
      </c>
      <c r="V94" s="53">
        <f t="shared" si="32"/>
        <v>-46.132538776472302</v>
      </c>
      <c r="W94" s="53">
        <f t="shared" si="32"/>
        <v>-47.820060905126866</v>
      </c>
      <c r="X94" s="150">
        <f t="shared" si="32"/>
        <v>-49.415671788259488</v>
      </c>
    </row>
    <row r="95" spans="2:24" s="54" customFormat="1" ht="15" customHeight="1" x14ac:dyDescent="0.25">
      <c r="B95" s="333" t="s">
        <v>339</v>
      </c>
      <c r="C95" s="292" t="s">
        <v>36</v>
      </c>
      <c r="N95" s="204"/>
      <c r="O95" s="435"/>
      <c r="P95" s="53">
        <f>P68-P41</f>
        <v>6.1325962504611198E-2</v>
      </c>
      <c r="Q95" s="53">
        <f t="shared" ref="Q95:X95" si="33">Q68-Q41</f>
        <v>0.12055747640567915</v>
      </c>
      <c r="R95" s="53">
        <f t="shared" si="33"/>
        <v>0.17860296534638564</v>
      </c>
      <c r="S95" s="53">
        <f t="shared" si="33"/>
        <v>0.23619565190585945</v>
      </c>
      <c r="T95" s="53">
        <f t="shared" si="33"/>
        <v>0.29385726357099884</v>
      </c>
      <c r="U95" s="53">
        <f t="shared" si="33"/>
        <v>0.35068503333593526</v>
      </c>
      <c r="V95" s="53">
        <f t="shared" si="33"/>
        <v>0.40661697318671486</v>
      </c>
      <c r="W95" s="53">
        <f t="shared" si="33"/>
        <v>0.46130844156471085</v>
      </c>
      <c r="X95" s="150">
        <f t="shared" si="33"/>
        <v>0.51458845050387936</v>
      </c>
    </row>
    <row r="96" spans="2:24" s="54" customFormat="1" ht="15" customHeight="1" x14ac:dyDescent="0.25">
      <c r="B96" s="333" t="s">
        <v>346</v>
      </c>
      <c r="C96" s="292" t="s">
        <v>36</v>
      </c>
      <c r="N96" s="204"/>
      <c r="O96" s="435"/>
      <c r="P96" s="53">
        <f>SUM(P93:P95)</f>
        <v>-56.038053165349424</v>
      </c>
      <c r="Q96" s="53">
        <f t="shared" ref="Q96:X96" si="34">Q69-Q42</f>
        <v>-68.004237723509505</v>
      </c>
      <c r="R96" s="53">
        <f t="shared" si="34"/>
        <v>-69.597242865844237</v>
      </c>
      <c r="S96" s="53">
        <f t="shared" si="34"/>
        <v>-71.653947891089956</v>
      </c>
      <c r="T96" s="53">
        <f t="shared" si="34"/>
        <v>-74.348195097903954</v>
      </c>
      <c r="U96" s="53">
        <f t="shared" si="34"/>
        <v>-76.27621161411389</v>
      </c>
      <c r="V96" s="53">
        <f t="shared" si="34"/>
        <v>-78.12293896193205</v>
      </c>
      <c r="W96" s="53">
        <f t="shared" si="34"/>
        <v>-79.735638581681997</v>
      </c>
      <c r="X96" s="150">
        <f t="shared" si="34"/>
        <v>-81.228009965853744</v>
      </c>
    </row>
    <row r="97" spans="2:24" s="54" customFormat="1" ht="15" customHeight="1" x14ac:dyDescent="0.25">
      <c r="B97" s="56" t="s">
        <v>343</v>
      </c>
      <c r="C97" s="292"/>
      <c r="N97" s="204"/>
      <c r="O97" s="435"/>
      <c r="P97" s="295"/>
      <c r="Q97" s="295"/>
      <c r="R97" s="295"/>
      <c r="S97" s="295"/>
      <c r="T97" s="295"/>
      <c r="U97" s="295"/>
      <c r="V97" s="295"/>
      <c r="W97" s="295"/>
      <c r="X97" s="300"/>
    </row>
    <row r="98" spans="2:24" s="54" customFormat="1" ht="15" customHeight="1" x14ac:dyDescent="0.25">
      <c r="B98" s="333" t="s">
        <v>340</v>
      </c>
      <c r="C98" s="292" t="s">
        <v>252</v>
      </c>
      <c r="N98" s="204"/>
      <c r="O98" s="435"/>
      <c r="P98" s="53">
        <f>P71-P44</f>
        <v>0.56194476400560234</v>
      </c>
      <c r="Q98" s="53">
        <f t="shared" ref="Q98:X98" si="35">Q71-Q44</f>
        <v>1.1036587099788449</v>
      </c>
      <c r="R98" s="53">
        <f t="shared" si="35"/>
        <v>1.641756766925937</v>
      </c>
      <c r="S98" s="53">
        <f t="shared" si="35"/>
        <v>2.18463625714503</v>
      </c>
      <c r="T98" s="53">
        <f t="shared" si="35"/>
        <v>2.7363450733382706</v>
      </c>
      <c r="U98" s="53">
        <f t="shared" si="35"/>
        <v>3.2944638165272409</v>
      </c>
      <c r="V98" s="53">
        <f t="shared" si="35"/>
        <v>3.8605739889744655</v>
      </c>
      <c r="W98" s="53">
        <f t="shared" si="35"/>
        <v>4.4335832798915362</v>
      </c>
      <c r="X98" s="150">
        <f t="shared" si="35"/>
        <v>5.0134807533531784</v>
      </c>
    </row>
    <row r="99" spans="2:24" s="54" customFormat="1" ht="15" customHeight="1" x14ac:dyDescent="0.25">
      <c r="B99" s="333" t="s">
        <v>341</v>
      </c>
      <c r="C99" s="292" t="s">
        <v>252</v>
      </c>
      <c r="N99" s="204"/>
      <c r="O99" s="435"/>
      <c r="P99" s="53">
        <f>P72-P45</f>
        <v>-120.78223899260672</v>
      </c>
      <c r="Q99" s="53">
        <f t="shared" ref="Q99:X99" si="36">Q72-Q45</f>
        <v>-118.77203141478435</v>
      </c>
      <c r="R99" s="53">
        <f t="shared" si="36"/>
        <v>-118.65700133255154</v>
      </c>
      <c r="S99" s="53">
        <f t="shared" si="36"/>
        <v>-118.83450568953901</v>
      </c>
      <c r="T99" s="53">
        <f t="shared" si="36"/>
        <v>-121.17784053227763</v>
      </c>
      <c r="U99" s="53">
        <f t="shared" si="36"/>
        <v>-122.52252545440103</v>
      </c>
      <c r="V99" s="53">
        <f t="shared" si="36"/>
        <v>-123.83700642528311</v>
      </c>
      <c r="W99" s="53">
        <f t="shared" si="36"/>
        <v>-124.96760909597481</v>
      </c>
      <c r="X99" s="150">
        <f t="shared" si="36"/>
        <v>-126.2971702357662</v>
      </c>
    </row>
    <row r="100" spans="2:24" s="54" customFormat="1" ht="15" customHeight="1" x14ac:dyDescent="0.25">
      <c r="B100" s="333" t="s">
        <v>342</v>
      </c>
      <c r="C100" s="292" t="s">
        <v>252</v>
      </c>
      <c r="N100" s="204"/>
      <c r="O100" s="435"/>
      <c r="P100" s="53">
        <f>P73-P46</f>
        <v>1.2216638980802941E-2</v>
      </c>
      <c r="Q100" s="53">
        <f t="shared" ref="Q100:X100" si="37">Q73-Q46</f>
        <v>2.3549716058980152E-2</v>
      </c>
      <c r="R100" s="53">
        <f t="shared" si="37"/>
        <v>3.4279748983124136E-2</v>
      </c>
      <c r="S100" s="53">
        <f t="shared" si="37"/>
        <v>4.4627136070687357E-2</v>
      </c>
      <c r="T100" s="53">
        <f t="shared" si="37"/>
        <v>5.4676536258838837E-2</v>
      </c>
      <c r="U100" s="53">
        <f t="shared" si="37"/>
        <v>6.4379687695051757E-2</v>
      </c>
      <c r="V100" s="53">
        <f t="shared" si="37"/>
        <v>7.3769543005653304E-2</v>
      </c>
      <c r="W100" s="53">
        <f t="shared" si="37"/>
        <v>8.2826754887605603E-2</v>
      </c>
      <c r="X100" s="150">
        <f t="shared" si="37"/>
        <v>9.1553876912897181E-2</v>
      </c>
    </row>
    <row r="101" spans="2:24" s="54" customFormat="1" ht="15" customHeight="1" x14ac:dyDescent="0.25">
      <c r="B101" s="333" t="s">
        <v>345</v>
      </c>
      <c r="C101" s="292" t="s">
        <v>252</v>
      </c>
      <c r="N101" s="204"/>
      <c r="O101" s="435"/>
      <c r="P101" s="53">
        <f>P74-P47</f>
        <v>-120.20807758961928</v>
      </c>
      <c r="Q101" s="53">
        <f t="shared" ref="Q101:X101" si="38">Q74-Q47</f>
        <v>-117.64482298874555</v>
      </c>
      <c r="R101" s="53">
        <f t="shared" si="38"/>
        <v>-116.98096481664288</v>
      </c>
      <c r="S101" s="53">
        <f t="shared" si="38"/>
        <v>-116.60524229632301</v>
      </c>
      <c r="T101" s="53">
        <f t="shared" si="38"/>
        <v>-118.3868189226805</v>
      </c>
      <c r="U101" s="53">
        <f t="shared" si="38"/>
        <v>-119.16368195017913</v>
      </c>
      <c r="V101" s="53">
        <f t="shared" si="38"/>
        <v>-119.90266289330339</v>
      </c>
      <c r="W101" s="53">
        <f t="shared" si="38"/>
        <v>-120.45119906119544</v>
      </c>
      <c r="X101" s="150">
        <f t="shared" si="38"/>
        <v>-121.19213560549997</v>
      </c>
    </row>
    <row r="102" spans="2:24" s="54" customFormat="1" ht="15" customHeight="1" x14ac:dyDescent="0.25">
      <c r="B102" s="333" t="s">
        <v>344</v>
      </c>
      <c r="C102" s="292" t="s">
        <v>252</v>
      </c>
      <c r="N102" s="204"/>
      <c r="O102" s="435"/>
      <c r="P102" s="53">
        <f ca="1">P75-P48</f>
        <v>-129.16242316458374</v>
      </c>
      <c r="Q102" s="53">
        <f t="shared" ref="Q102:X102" ca="1" si="39">Q75-Q48</f>
        <v>-13.532300911378115</v>
      </c>
      <c r="R102" s="53">
        <f t="shared" ca="1" si="39"/>
        <v>58.537792819552124</v>
      </c>
      <c r="S102" s="53">
        <f t="shared" ca="1" si="39"/>
        <v>103.94746976578608</v>
      </c>
      <c r="T102" s="53">
        <f t="shared" ca="1" si="39"/>
        <v>134.15415820060298</v>
      </c>
      <c r="U102" s="53">
        <f t="shared" ca="1" si="39"/>
        <v>148.00046181399375</v>
      </c>
      <c r="V102" s="53">
        <f t="shared" ca="1" si="39"/>
        <v>157.28256852645427</v>
      </c>
      <c r="W102" s="53">
        <f t="shared" ca="1" si="39"/>
        <v>160.79441109951586</v>
      </c>
      <c r="X102" s="150">
        <f t="shared" ca="1" si="39"/>
        <v>162.51631311746314</v>
      </c>
    </row>
    <row r="103" spans="2:24" s="54" customFormat="1" ht="15" customHeight="1" x14ac:dyDescent="0.25">
      <c r="B103" s="56" t="s">
        <v>325</v>
      </c>
      <c r="C103" s="292"/>
      <c r="N103" s="204"/>
      <c r="O103" s="435"/>
      <c r="P103" s="295"/>
      <c r="Q103" s="295"/>
      <c r="R103" s="295"/>
      <c r="S103" s="295"/>
      <c r="T103" s="295"/>
      <c r="U103" s="295"/>
      <c r="V103" s="295"/>
      <c r="W103" s="295"/>
      <c r="X103" s="300"/>
    </row>
    <row r="104" spans="2:24" s="54" customFormat="1" ht="15" customHeight="1" x14ac:dyDescent="0.25">
      <c r="B104" s="333" t="s">
        <v>340</v>
      </c>
      <c r="C104" s="292" t="s">
        <v>36</v>
      </c>
      <c r="N104" s="204"/>
      <c r="O104" s="435"/>
      <c r="P104" s="311">
        <f>P77-P50</f>
        <v>5.6846537762453409E-2</v>
      </c>
      <c r="Q104" s="311">
        <f>Q77-Q50</f>
        <v>0.11385733790962149</v>
      </c>
      <c r="R104" s="311">
        <f t="shared" ref="R104:X104" si="40">R77-R50</f>
        <v>0.17237631972659528</v>
      </c>
      <c r="S104" s="311">
        <f t="shared" si="40"/>
        <v>0.23300743313018302</v>
      </c>
      <c r="T104" s="311">
        <f t="shared" si="40"/>
        <v>0.29636305095232274</v>
      </c>
      <c r="U104" s="311">
        <f t="shared" si="40"/>
        <v>0.36163534036279543</v>
      </c>
      <c r="V104" s="311">
        <f t="shared" si="40"/>
        <v>0.42882297696030491</v>
      </c>
      <c r="W104" s="311">
        <f t="shared" si="40"/>
        <v>0.49761490854416479</v>
      </c>
      <c r="X104" s="26">
        <f t="shared" si="40"/>
        <v>0.56785885730744212</v>
      </c>
    </row>
    <row r="105" spans="2:24" s="54" customFormat="1" ht="15" customHeight="1" x14ac:dyDescent="0.25">
      <c r="B105" s="333" t="s">
        <v>341</v>
      </c>
      <c r="C105" s="292" t="s">
        <v>36</v>
      </c>
      <c r="N105" s="204"/>
      <c r="O105" s="435"/>
      <c r="P105" s="311">
        <f t="shared" ref="P105:X107" si="41">P78-P51</f>
        <v>-3.9812370560228487</v>
      </c>
      <c r="Q105" s="311">
        <f t="shared" si="41"/>
        <v>-4.0692181639605707</v>
      </c>
      <c r="R105" s="311">
        <f t="shared" si="41"/>
        <v>-4.2332980855489666</v>
      </c>
      <c r="S105" s="311">
        <f t="shared" si="41"/>
        <v>-4.4550559723756891</v>
      </c>
      <c r="T105" s="311">
        <f t="shared" si="41"/>
        <v>-4.7540272789662765</v>
      </c>
      <c r="U105" s="311">
        <f t="shared" si="41"/>
        <v>-4.9713802567028864</v>
      </c>
      <c r="V105" s="311">
        <f t="shared" si="41"/>
        <v>-5.1837255372434754</v>
      </c>
      <c r="W105" s="311">
        <f t="shared" si="41"/>
        <v>-5.3733455274927877</v>
      </c>
      <c r="X105" s="26">
        <f t="shared" si="41"/>
        <v>-5.5526378253321838</v>
      </c>
    </row>
    <row r="106" spans="2:24" s="54" customFormat="1" ht="15" customHeight="1" x14ac:dyDescent="0.25">
      <c r="B106" s="333" t="s">
        <v>342</v>
      </c>
      <c r="C106" s="292" t="s">
        <v>36</v>
      </c>
      <c r="N106" s="204"/>
      <c r="O106" s="435"/>
      <c r="P106" s="311">
        <f t="shared" si="41"/>
        <v>1.2141956961411182E-3</v>
      </c>
      <c r="Q106" s="311">
        <f t="shared" si="41"/>
        <v>2.3869233031348358E-3</v>
      </c>
      <c r="R106" s="311">
        <f t="shared" si="41"/>
        <v>3.536168744602719E-3</v>
      </c>
      <c r="S106" s="311">
        <f t="shared" si="41"/>
        <v>4.6764491298389999E-3</v>
      </c>
      <c r="T106" s="311">
        <f t="shared" si="41"/>
        <v>5.8180941665746388E-3</v>
      </c>
      <c r="U106" s="311">
        <f t="shared" si="41"/>
        <v>6.943229927216521E-3</v>
      </c>
      <c r="V106" s="311">
        <f t="shared" si="41"/>
        <v>8.0506291080855164E-3</v>
      </c>
      <c r="W106" s="311">
        <f t="shared" si="41"/>
        <v>9.1334681342996049E-3</v>
      </c>
      <c r="X106" s="26">
        <f t="shared" si="41"/>
        <v>1.0188361606854102E-2</v>
      </c>
    </row>
    <row r="107" spans="2:24" s="54" customFormat="1" ht="15" customHeight="1" x14ac:dyDescent="0.25">
      <c r="B107" s="333" t="s">
        <v>345</v>
      </c>
      <c r="C107" s="292" t="s">
        <v>36</v>
      </c>
      <c r="N107" s="204"/>
      <c r="O107" s="435"/>
      <c r="P107" s="311">
        <f t="shared" si="41"/>
        <v>-3.9231763225642453</v>
      </c>
      <c r="Q107" s="311">
        <f t="shared" si="41"/>
        <v>-3.9529739027478854</v>
      </c>
      <c r="R107" s="311">
        <f t="shared" si="41"/>
        <v>-4.0573855970777686</v>
      </c>
      <c r="S107" s="311">
        <f t="shared" si="41"/>
        <v>-4.2173720901156457</v>
      </c>
      <c r="T107" s="311">
        <f t="shared" si="41"/>
        <v>-4.451846133847198</v>
      </c>
      <c r="U107" s="311">
        <f t="shared" si="41"/>
        <v>-4.6028016864129313</v>
      </c>
      <c r="V107" s="311">
        <f t="shared" si="41"/>
        <v>-4.7468519311751152</v>
      </c>
      <c r="W107" s="311">
        <f t="shared" si="41"/>
        <v>-4.8665971508143002</v>
      </c>
      <c r="X107" s="26">
        <f t="shared" si="41"/>
        <v>-4.9745906064179053</v>
      </c>
    </row>
    <row r="108" spans="2:24" s="54" customFormat="1" ht="15" customHeight="1" x14ac:dyDescent="0.25">
      <c r="B108" s="333" t="s">
        <v>344</v>
      </c>
      <c r="C108" s="292" t="s">
        <v>36</v>
      </c>
      <c r="N108" s="204"/>
      <c r="O108" s="435"/>
      <c r="P108" s="52">
        <f ca="1">P81-P54</f>
        <v>-12.159524181508459</v>
      </c>
      <c r="Q108" s="52">
        <f t="shared" ref="Q108:X108" ca="1" si="42">Q81-Q54</f>
        <v>-5.3155236685997806</v>
      </c>
      <c r="R108" s="52">
        <f t="shared" ca="1" si="42"/>
        <v>-0.59342393500264734</v>
      </c>
      <c r="S108" s="52">
        <f t="shared" ca="1" si="42"/>
        <v>2.6060224692919292</v>
      </c>
      <c r="T108" s="52">
        <f t="shared" ca="1" si="42"/>
        <v>5.0769747700542212</v>
      </c>
      <c r="U108" s="52">
        <f t="shared" ca="1" si="42"/>
        <v>6.7315222900942899</v>
      </c>
      <c r="V108" s="52">
        <f t="shared" ca="1" si="42"/>
        <v>8.1988626796519384</v>
      </c>
      <c r="W108" s="52">
        <f t="shared" ca="1" si="42"/>
        <v>9.1975203307811171</v>
      </c>
      <c r="X108" s="207">
        <f t="shared" ca="1" si="42"/>
        <v>10.046726086060517</v>
      </c>
    </row>
    <row r="109" spans="2:24" s="54" customFormat="1" ht="15" customHeight="1" x14ac:dyDescent="0.25">
      <c r="B109" s="333" t="s">
        <v>362</v>
      </c>
      <c r="C109" s="292" t="s">
        <v>36</v>
      </c>
      <c r="N109" s="204"/>
      <c r="O109" s="435"/>
      <c r="P109" s="40">
        <f ca="1">P82-P55</f>
        <v>-5.2231881145853549</v>
      </c>
      <c r="Q109" s="40">
        <f t="shared" ref="Q109:X110" ca="1" si="43">Q82-Q55</f>
        <v>-4.0739114946918562</v>
      </c>
      <c r="R109" s="40">
        <f t="shared" ca="1" si="43"/>
        <v>-3.3382405701559037</v>
      </c>
      <c r="S109" s="40">
        <f t="shared" ca="1" si="43"/>
        <v>-2.8477152851992287</v>
      </c>
      <c r="T109" s="40">
        <f t="shared" ca="1" si="43"/>
        <v>-2.2229774064035155</v>
      </c>
      <c r="U109" s="40">
        <f t="shared" ca="1" si="43"/>
        <v>-2.0277682350133546</v>
      </c>
      <c r="V109" s="40">
        <f t="shared" ca="1" si="43"/>
        <v>-2.1252805427648127</v>
      </c>
      <c r="W109" s="40">
        <f t="shared" ca="1" si="43"/>
        <v>-2.1160279060713947</v>
      </c>
      <c r="X109" s="25">
        <f t="shared" ca="1" si="43"/>
        <v>-2.1006441904464737</v>
      </c>
    </row>
    <row r="110" spans="2:24" s="54" customFormat="1" ht="15" customHeight="1" x14ac:dyDescent="0.25">
      <c r="B110" s="476" t="s">
        <v>347</v>
      </c>
      <c r="C110" s="477" t="s">
        <v>36</v>
      </c>
      <c r="D110" s="478"/>
      <c r="E110" s="478"/>
      <c r="F110" s="478"/>
      <c r="G110" s="478"/>
      <c r="H110" s="478"/>
      <c r="I110" s="478"/>
      <c r="J110" s="478"/>
      <c r="K110" s="478"/>
      <c r="L110" s="478"/>
      <c r="M110" s="478"/>
      <c r="N110" s="479"/>
      <c r="O110" s="487"/>
      <c r="P110" s="480">
        <f ca="1">P83-P56</f>
        <v>-21.305888618633617</v>
      </c>
      <c r="Q110" s="480">
        <f t="shared" ca="1" si="43"/>
        <v>-13.342409066041</v>
      </c>
      <c r="R110" s="480">
        <f t="shared" ca="1" si="43"/>
        <v>-7.9890501022455283</v>
      </c>
      <c r="S110" s="480">
        <f t="shared" ca="1" si="43"/>
        <v>-4.4590649059973657</v>
      </c>
      <c r="T110" s="480">
        <f t="shared" ca="1" si="43"/>
        <v>-1.5978487702086568</v>
      </c>
      <c r="U110" s="480">
        <f t="shared" ca="1" si="43"/>
        <v>0.1009523686952889</v>
      </c>
      <c r="V110" s="480">
        <f t="shared" ca="1" si="43"/>
        <v>1.3267302056774497</v>
      </c>
      <c r="W110" s="480">
        <f t="shared" ca="1" si="43"/>
        <v>2.2148952739080414</v>
      </c>
      <c r="X110" s="481">
        <f t="shared" ca="1" si="43"/>
        <v>2.9714912892086431</v>
      </c>
    </row>
    <row r="111" spans="2:24" s="54" customFormat="1" ht="15" customHeight="1" x14ac:dyDescent="0.25">
      <c r="B111" s="333"/>
      <c r="C111" s="300"/>
      <c r="N111" s="204"/>
      <c r="O111" s="435"/>
      <c r="P111" s="431">
        <f ca="1">P110</f>
        <v>-21.305888618633617</v>
      </c>
      <c r="Q111" s="431">
        <f ca="1">Q110-P110</f>
        <v>7.9634795525926165</v>
      </c>
      <c r="R111" s="431">
        <f ca="1">R110-Q110</f>
        <v>5.3533589637954719</v>
      </c>
      <c r="S111" s="431">
        <f ca="1">S110-R110</f>
        <v>3.5299851962481625</v>
      </c>
      <c r="T111" s="431">
        <f ca="1">T110-S110</f>
        <v>2.8612161357887089</v>
      </c>
      <c r="U111" s="431">
        <f t="shared" ref="U111:X111" ca="1" si="44">U110-T110</f>
        <v>1.6988011389039457</v>
      </c>
      <c r="V111" s="431">
        <f t="shared" ca="1" si="44"/>
        <v>1.2257778369821608</v>
      </c>
      <c r="W111" s="431">
        <f t="shared" ca="1" si="44"/>
        <v>0.88816506823059171</v>
      </c>
      <c r="X111" s="488">
        <f t="shared" ca="1" si="44"/>
        <v>0.75659601530060172</v>
      </c>
    </row>
    <row r="112" spans="2:24" s="54" customFormat="1" ht="15" customHeight="1" x14ac:dyDescent="0.25">
      <c r="B112" s="295" t="s">
        <v>352</v>
      </c>
      <c r="C112" s="334"/>
      <c r="N112" s="204"/>
      <c r="O112" s="435"/>
      <c r="P112" s="295"/>
      <c r="Q112" s="295"/>
      <c r="R112" s="295"/>
      <c r="S112" s="295"/>
      <c r="T112" s="295"/>
      <c r="U112" s="295"/>
      <c r="V112" s="295"/>
      <c r="W112" s="295"/>
      <c r="X112" s="300"/>
    </row>
    <row r="113" spans="2:24" s="54" customFormat="1" ht="15" customHeight="1" x14ac:dyDescent="0.25">
      <c r="B113" s="56" t="s">
        <v>348</v>
      </c>
      <c r="C113" s="292" t="s">
        <v>34</v>
      </c>
      <c r="N113" s="204"/>
      <c r="O113" s="435"/>
      <c r="P113" s="311">
        <f ca="1">(P59/P32-1)*100</f>
        <v>1.1506205079392373E-3</v>
      </c>
      <c r="Q113" s="311">
        <f t="shared" ref="Q113:X113" ca="1" si="45">(Q59/Q32-1)*100</f>
        <v>7.2219048237176509E-4</v>
      </c>
      <c r="R113" s="311">
        <f t="shared" ca="1" si="45"/>
        <v>3.6507428304854983E-4</v>
      </c>
      <c r="S113" s="311">
        <f t="shared" ca="1" si="45"/>
        <v>1.6793672454884501E-4</v>
      </c>
      <c r="T113" s="311">
        <f t="shared" ca="1" si="45"/>
        <v>-3.113707101043417E-5</v>
      </c>
      <c r="U113" s="311">
        <f t="shared" ca="1" si="45"/>
        <v>-1.4190497759081211E-4</v>
      </c>
      <c r="V113" s="311">
        <f t="shared" ca="1" si="45"/>
        <v>-3.644321164175679E-4</v>
      </c>
      <c r="W113" s="311">
        <f t="shared" ca="1" si="45"/>
        <v>-2.8624630632467785E-4</v>
      </c>
      <c r="X113" s="26">
        <f t="shared" ca="1" si="45"/>
        <v>-1.5451918914388685E-4</v>
      </c>
    </row>
    <row r="114" spans="2:24" s="54" customFormat="1" ht="15" customHeight="1" x14ac:dyDescent="0.25">
      <c r="B114" s="56" t="s">
        <v>333</v>
      </c>
      <c r="C114" s="292" t="s">
        <v>34</v>
      </c>
      <c r="N114" s="204"/>
      <c r="O114" s="435"/>
      <c r="P114" s="295"/>
      <c r="Q114" s="295"/>
      <c r="R114" s="295"/>
      <c r="S114" s="295"/>
      <c r="T114" s="295"/>
      <c r="U114" s="295"/>
      <c r="V114" s="295"/>
      <c r="W114" s="295"/>
      <c r="X114" s="300"/>
    </row>
    <row r="115" spans="2:24" s="54" customFormat="1" ht="15" customHeight="1" x14ac:dyDescent="0.25">
      <c r="B115" s="333" t="s">
        <v>334</v>
      </c>
      <c r="C115" s="292" t="s">
        <v>34</v>
      </c>
      <c r="N115" s="204"/>
      <c r="O115" s="435"/>
      <c r="P115" s="295"/>
      <c r="Q115" s="295"/>
      <c r="R115" s="295"/>
      <c r="S115" s="295"/>
      <c r="T115" s="295"/>
      <c r="U115" s="295"/>
      <c r="V115" s="295"/>
      <c r="W115" s="295"/>
      <c r="X115" s="300"/>
    </row>
    <row r="116" spans="2:24" s="54" customFormat="1" ht="15" customHeight="1" x14ac:dyDescent="0.25">
      <c r="B116" s="333" t="s">
        <v>331</v>
      </c>
      <c r="C116" s="292" t="s">
        <v>34</v>
      </c>
      <c r="N116" s="204"/>
      <c r="O116" s="435"/>
      <c r="P116" s="295"/>
      <c r="Q116" s="295"/>
      <c r="R116" s="295"/>
      <c r="S116" s="295"/>
      <c r="T116" s="295"/>
      <c r="U116" s="295"/>
      <c r="V116" s="295"/>
      <c r="W116" s="295"/>
      <c r="X116" s="300"/>
    </row>
    <row r="117" spans="2:24" s="54" customFormat="1" ht="15" customHeight="1" x14ac:dyDescent="0.25">
      <c r="B117" s="333" t="s">
        <v>335</v>
      </c>
      <c r="C117" s="292" t="s">
        <v>34</v>
      </c>
      <c r="N117" s="204"/>
      <c r="O117" s="435"/>
      <c r="P117" s="295"/>
      <c r="Q117" s="295"/>
      <c r="R117" s="295"/>
      <c r="S117" s="295"/>
      <c r="T117" s="295"/>
      <c r="U117" s="295"/>
      <c r="V117" s="295"/>
      <c r="W117" s="295"/>
      <c r="X117" s="300"/>
    </row>
    <row r="118" spans="2:24" s="54" customFormat="1" ht="15" customHeight="1" x14ac:dyDescent="0.25">
      <c r="B118" s="333" t="s">
        <v>345</v>
      </c>
      <c r="C118" s="292" t="s">
        <v>34</v>
      </c>
      <c r="N118" s="204"/>
      <c r="O118" s="435"/>
      <c r="P118" s="295"/>
      <c r="Q118" s="295"/>
      <c r="R118" s="295"/>
      <c r="S118" s="295"/>
      <c r="T118" s="295"/>
      <c r="U118" s="295"/>
      <c r="V118" s="295"/>
      <c r="W118" s="295"/>
      <c r="X118" s="300"/>
    </row>
    <row r="119" spans="2:24" s="54" customFormat="1" ht="15" customHeight="1" x14ac:dyDescent="0.25">
      <c r="B119" s="56" t="s">
        <v>336</v>
      </c>
      <c r="C119" s="292" t="s">
        <v>34</v>
      </c>
      <c r="N119" s="204"/>
      <c r="O119" s="435"/>
      <c r="P119" s="295"/>
      <c r="Q119" s="295"/>
      <c r="R119" s="295"/>
      <c r="S119" s="295"/>
      <c r="T119" s="295"/>
      <c r="U119" s="295"/>
      <c r="V119" s="295"/>
      <c r="W119" s="295"/>
      <c r="X119" s="300"/>
    </row>
    <row r="120" spans="2:24" s="54" customFormat="1" ht="15" customHeight="1" x14ac:dyDescent="0.25">
      <c r="B120" s="333" t="s">
        <v>337</v>
      </c>
      <c r="C120" s="292" t="s">
        <v>34</v>
      </c>
      <c r="N120" s="204"/>
      <c r="O120" s="435"/>
      <c r="P120" s="311">
        <f>(P66/P39-1)*100</f>
        <v>-0.5242550341716945</v>
      </c>
      <c r="Q120" s="311">
        <f t="shared" ref="Q120:X120" si="46">(Q66/Q39-1)*100</f>
        <v>-0.80189270500137244</v>
      </c>
      <c r="R120" s="311">
        <f t="shared" si="46"/>
        <v>-0.79914249880334021</v>
      </c>
      <c r="S120" s="311">
        <f t="shared" si="46"/>
        <v>-0.79511205955585806</v>
      </c>
      <c r="T120" s="311">
        <f t="shared" si="46"/>
        <v>-0.78986250777766109</v>
      </c>
      <c r="U120" s="311">
        <f t="shared" si="46"/>
        <v>-0.78365303053692381</v>
      </c>
      <c r="V120" s="311">
        <f t="shared" si="46"/>
        <v>-0.77659381862755783</v>
      </c>
      <c r="W120" s="311">
        <f t="shared" si="46"/>
        <v>-0.76882584009184685</v>
      </c>
      <c r="X120" s="26">
        <f t="shared" si="46"/>
        <v>-0.76045109195370664</v>
      </c>
    </row>
    <row r="121" spans="2:24" s="54" customFormat="1" ht="15" customHeight="1" x14ac:dyDescent="0.25">
      <c r="B121" s="333" t="s">
        <v>338</v>
      </c>
      <c r="C121" s="292" t="s">
        <v>34</v>
      </c>
      <c r="N121" s="204"/>
      <c r="O121" s="435"/>
      <c r="P121" s="311">
        <f>(P67/P40-1)*100</f>
        <v>-3.3604844270784584</v>
      </c>
      <c r="Q121" s="311">
        <f t="shared" ref="P121:X129" si="47">(Q67/Q40-1)*100</f>
        <v>-3.4910733542188987</v>
      </c>
      <c r="R121" s="311">
        <f t="shared" si="47"/>
        <v>-3.5801100953060661</v>
      </c>
      <c r="S121" s="311">
        <f t="shared" si="47"/>
        <v>-3.7300861453291589</v>
      </c>
      <c r="T121" s="311">
        <f t="shared" si="47"/>
        <v>-3.9130997038795079</v>
      </c>
      <c r="U121" s="311">
        <f t="shared" si="47"/>
        <v>-4.0370634371387215</v>
      </c>
      <c r="V121" s="311">
        <f t="shared" si="47"/>
        <v>-4.1539863698621833</v>
      </c>
      <c r="W121" s="311">
        <f t="shared" si="47"/>
        <v>-4.2502155696714228</v>
      </c>
      <c r="X121" s="26">
        <f t="shared" si="47"/>
        <v>-4.3321558562179563</v>
      </c>
    </row>
    <row r="122" spans="2:24" s="54" customFormat="1" ht="15" customHeight="1" x14ac:dyDescent="0.25">
      <c r="B122" s="333" t="s">
        <v>339</v>
      </c>
      <c r="C122" s="292" t="s">
        <v>34</v>
      </c>
      <c r="N122" s="204"/>
      <c r="O122" s="435"/>
      <c r="P122" s="311">
        <f>(P68/P41-1)*100</f>
        <v>9.287619000009073E-3</v>
      </c>
      <c r="Q122" s="311">
        <f t="shared" si="47"/>
        <v>1.848235989319047E-2</v>
      </c>
      <c r="R122" s="311">
        <f t="shared" si="47"/>
        <v>2.7721757236309763E-2</v>
      </c>
      <c r="S122" s="311">
        <f t="shared" si="47"/>
        <v>3.7122738631278906E-2</v>
      </c>
      <c r="T122" s="311">
        <f t="shared" si="47"/>
        <v>4.6774533312166078E-2</v>
      </c>
      <c r="U122" s="311">
        <f t="shared" si="47"/>
        <v>5.6541309540358853E-2</v>
      </c>
      <c r="V122" s="311">
        <f t="shared" si="47"/>
        <v>6.641745748818817E-2</v>
      </c>
      <c r="W122" s="311">
        <f t="shared" si="47"/>
        <v>7.6350288243087761E-2</v>
      </c>
      <c r="X122" s="26">
        <f t="shared" si="47"/>
        <v>8.6313407309779322E-2</v>
      </c>
    </row>
    <row r="123" spans="2:24" s="54" customFormat="1" ht="15" customHeight="1" x14ac:dyDescent="0.25">
      <c r="B123" s="333" t="s">
        <v>346</v>
      </c>
      <c r="C123" s="292" t="s">
        <v>34</v>
      </c>
      <c r="N123" s="204"/>
      <c r="O123" s="435"/>
      <c r="P123" s="311">
        <f>(P69/P42-1)*100</f>
        <v>-0.99058464935004586</v>
      </c>
      <c r="Q123" s="311">
        <f t="shared" si="47"/>
        <v>-1.1995699917409453</v>
      </c>
      <c r="R123" s="311">
        <f t="shared" si="47"/>
        <v>-1.218097996998313</v>
      </c>
      <c r="S123" s="311">
        <f t="shared" si="47"/>
        <v>-1.2452353460099319</v>
      </c>
      <c r="T123" s="311">
        <f t="shared" si="47"/>
        <v>-1.2811990343525759</v>
      </c>
      <c r="U123" s="311">
        <f t="shared" si="47"/>
        <v>-1.3041790615994975</v>
      </c>
      <c r="V123" s="311">
        <f t="shared" si="47"/>
        <v>-1.3253630651309245</v>
      </c>
      <c r="W123" s="311">
        <f t="shared" si="47"/>
        <v>-1.3422304135899843</v>
      </c>
      <c r="X123" s="26">
        <f t="shared" si="47"/>
        <v>-1.3565409611141055</v>
      </c>
    </row>
    <row r="124" spans="2:24" s="54" customFormat="1" ht="15" customHeight="1" x14ac:dyDescent="0.25">
      <c r="B124" s="56" t="s">
        <v>343</v>
      </c>
      <c r="C124" s="292" t="s">
        <v>34</v>
      </c>
      <c r="N124" s="204"/>
      <c r="O124" s="435"/>
      <c r="P124" s="311"/>
      <c r="Q124" s="311"/>
      <c r="R124" s="311"/>
      <c r="S124" s="311"/>
      <c r="T124" s="311"/>
      <c r="U124" s="311"/>
      <c r="V124" s="311"/>
      <c r="W124" s="311"/>
      <c r="X124" s="26"/>
    </row>
    <row r="125" spans="2:24" s="54" customFormat="1" ht="15" customHeight="1" x14ac:dyDescent="0.25">
      <c r="B125" s="333" t="s">
        <v>340</v>
      </c>
      <c r="C125" s="292" t="s">
        <v>34</v>
      </c>
      <c r="N125" s="204"/>
      <c r="O125" s="435"/>
      <c r="P125" s="311">
        <f>(P71/P44-1)*100</f>
        <v>1.1017272000013456E-2</v>
      </c>
      <c r="Q125" s="311">
        <f t="shared" si="47"/>
        <v>2.1498653635143583E-2</v>
      </c>
      <c r="R125" s="311">
        <f t="shared" si="47"/>
        <v>3.1683418751859982E-2</v>
      </c>
      <c r="S125" s="311">
        <f t="shared" si="47"/>
        <v>4.1766630446193886E-2</v>
      </c>
      <c r="T125" s="311">
        <f t="shared" si="47"/>
        <v>5.1824645586351359E-2</v>
      </c>
      <c r="U125" s="311">
        <f t="shared" si="47"/>
        <v>6.1810151859043039E-2</v>
      </c>
      <c r="V125" s="311">
        <f t="shared" si="47"/>
        <v>7.1752353352838583E-2</v>
      </c>
      <c r="W125" s="311">
        <f t="shared" si="47"/>
        <v>8.1630459044146342E-2</v>
      </c>
      <c r="X125" s="26">
        <f t="shared" si="47"/>
        <v>9.1444434703280564E-2</v>
      </c>
    </row>
    <row r="126" spans="2:24" s="54" customFormat="1" ht="15" customHeight="1" x14ac:dyDescent="0.25">
      <c r="B126" s="333" t="s">
        <v>341</v>
      </c>
      <c r="C126" s="292" t="s">
        <v>34</v>
      </c>
      <c r="N126" s="204"/>
      <c r="O126" s="435"/>
      <c r="P126" s="311">
        <f>(P72/P45-1)*100</f>
        <v>-12.233991419977164</v>
      </c>
      <c r="Q126" s="311">
        <f t="shared" si="47"/>
        <v>-12.227662142204688</v>
      </c>
      <c r="R126" s="311">
        <f t="shared" si="47"/>
        <v>-12.041820436870765</v>
      </c>
      <c r="S126" s="311">
        <f t="shared" si="47"/>
        <v>-11.939592570996549</v>
      </c>
      <c r="T126" s="311">
        <f t="shared" si="47"/>
        <v>-11.969160732457262</v>
      </c>
      <c r="U126" s="311">
        <f t="shared" si="47"/>
        <v>-11.939490013565967</v>
      </c>
      <c r="V126" s="311">
        <f t="shared" si="47"/>
        <v>-11.908436889551277</v>
      </c>
      <c r="W126" s="311">
        <f t="shared" si="47"/>
        <v>-11.861644299628448</v>
      </c>
      <c r="X126" s="26">
        <f t="shared" si="47"/>
        <v>-11.824413034780978</v>
      </c>
    </row>
    <row r="127" spans="2:24" s="54" customFormat="1" ht="15" customHeight="1" x14ac:dyDescent="0.25">
      <c r="B127" s="333" t="s">
        <v>342</v>
      </c>
      <c r="C127" s="292" t="s">
        <v>34</v>
      </c>
      <c r="N127" s="204"/>
      <c r="O127" s="435"/>
      <c r="P127" s="311">
        <f t="shared" si="47"/>
        <v>1.1017271999991252E-2</v>
      </c>
      <c r="Q127" s="311">
        <f t="shared" si="47"/>
        <v>2.1498653635121379E-2</v>
      </c>
      <c r="R127" s="311">
        <f t="shared" si="47"/>
        <v>3.1683418751859982E-2</v>
      </c>
      <c r="S127" s="311">
        <f t="shared" si="47"/>
        <v>4.1766630446193886E-2</v>
      </c>
      <c r="T127" s="311">
        <f t="shared" si="47"/>
        <v>5.1824645586351359E-2</v>
      </c>
      <c r="U127" s="311">
        <f t="shared" si="47"/>
        <v>6.1810151859065243E-2</v>
      </c>
      <c r="V127" s="311">
        <f t="shared" si="47"/>
        <v>7.1752353352838583E-2</v>
      </c>
      <c r="W127" s="311">
        <f t="shared" si="47"/>
        <v>8.1630459044124137E-2</v>
      </c>
      <c r="X127" s="26">
        <f t="shared" si="47"/>
        <v>9.1444434703258359E-2</v>
      </c>
    </row>
    <row r="128" spans="2:24" s="54" customFormat="1" ht="15" customHeight="1" x14ac:dyDescent="0.25">
      <c r="B128" s="333" t="s">
        <v>345</v>
      </c>
      <c r="C128" s="292" t="s">
        <v>34</v>
      </c>
      <c r="N128" s="204"/>
      <c r="O128" s="435"/>
      <c r="P128" s="311">
        <f t="shared" si="47"/>
        <v>-1.9392359988670616</v>
      </c>
      <c r="Q128" s="311">
        <f t="shared" si="47"/>
        <v>-1.893070699283117</v>
      </c>
      <c r="R128" s="311">
        <f t="shared" si="47"/>
        <v>-1.8641426115702409</v>
      </c>
      <c r="S128" s="311">
        <f t="shared" si="47"/>
        <v>-1.8413123291735611</v>
      </c>
      <c r="T128" s="311">
        <f t="shared" si="47"/>
        <v>-1.8503932676224299</v>
      </c>
      <c r="U128" s="311">
        <f t="shared" si="47"/>
        <v>-1.8445462909928101</v>
      </c>
      <c r="V128" s="311">
        <f t="shared" si="47"/>
        <v>-1.8381139085713816</v>
      </c>
      <c r="W128" s="311">
        <f t="shared" si="47"/>
        <v>-1.8288158092322204</v>
      </c>
      <c r="X128" s="26">
        <f t="shared" si="47"/>
        <v>-1.8222276259062142</v>
      </c>
    </row>
    <row r="129" spans="2:24" s="54" customFormat="1" ht="15" customHeight="1" x14ac:dyDescent="0.25">
      <c r="B129" s="333" t="s">
        <v>344</v>
      </c>
      <c r="C129" s="292" t="s">
        <v>34</v>
      </c>
      <c r="N129" s="204"/>
      <c r="O129" s="435"/>
      <c r="P129" s="311">
        <f t="shared" ca="1" si="47"/>
        <v>-3.3333503522303687E-3</v>
      </c>
      <c r="Q129" s="311">
        <f t="shared" ca="1" si="47"/>
        <v>-3.4546013302216849E-4</v>
      </c>
      <c r="R129" s="311">
        <f t="shared" ca="1" si="47"/>
        <v>1.4795255266930596E-3</v>
      </c>
      <c r="S129" s="311">
        <f t="shared" ca="1" si="47"/>
        <v>2.6022692769300804E-3</v>
      </c>
      <c r="T129" s="311">
        <f t="shared" ca="1" si="47"/>
        <v>3.3280763801712965E-3</v>
      </c>
      <c r="U129" s="311">
        <f t="shared" ca="1" si="47"/>
        <v>3.6398984536667456E-3</v>
      </c>
      <c r="V129" s="311">
        <f t="shared" ca="1" si="47"/>
        <v>3.8333737746532037E-3</v>
      </c>
      <c r="W129" s="311">
        <f t="shared" ca="1" si="47"/>
        <v>3.88382869853654E-3</v>
      </c>
      <c r="X129" s="26">
        <f t="shared" ca="1" si="47"/>
        <v>3.8903023850567209E-3</v>
      </c>
    </row>
    <row r="130" spans="2:24" s="54" customFormat="1" ht="15" customHeight="1" x14ac:dyDescent="0.25">
      <c r="B130" s="56" t="s">
        <v>325</v>
      </c>
      <c r="C130" s="292" t="s">
        <v>34</v>
      </c>
      <c r="N130" s="204"/>
      <c r="O130" s="435"/>
      <c r="P130" s="311"/>
      <c r="Q130" s="311"/>
      <c r="R130" s="311"/>
      <c r="S130" s="311"/>
      <c r="T130" s="311"/>
      <c r="U130" s="311"/>
      <c r="V130" s="311"/>
      <c r="W130" s="311"/>
      <c r="X130" s="26"/>
    </row>
    <row r="131" spans="2:24" s="54" customFormat="1" ht="15" customHeight="1" x14ac:dyDescent="0.25">
      <c r="B131" s="333" t="s">
        <v>340</v>
      </c>
      <c r="C131" s="292" t="s">
        <v>34</v>
      </c>
      <c r="N131" s="204"/>
      <c r="O131" s="435"/>
      <c r="P131" s="311">
        <f t="shared" ref="P131:X131" si="48">(P77/P50-1)*100</f>
        <v>9.287619000009073E-3</v>
      </c>
      <c r="Q131" s="311">
        <f t="shared" si="48"/>
        <v>1.848235989319047E-2</v>
      </c>
      <c r="R131" s="311">
        <f t="shared" si="48"/>
        <v>2.7721757236309763E-2</v>
      </c>
      <c r="S131" s="311">
        <f t="shared" si="48"/>
        <v>3.7122738631301111E-2</v>
      </c>
      <c r="T131" s="311">
        <f t="shared" si="48"/>
        <v>4.6774533312188282E-2</v>
      </c>
      <c r="U131" s="311">
        <f t="shared" si="48"/>
        <v>5.6541309540358853E-2</v>
      </c>
      <c r="V131" s="311">
        <f t="shared" si="48"/>
        <v>6.6417457488232579E-2</v>
      </c>
      <c r="W131" s="311">
        <f t="shared" si="48"/>
        <v>7.6350288243132169E-2</v>
      </c>
      <c r="X131" s="26">
        <f t="shared" si="48"/>
        <v>8.6313407309823731E-2</v>
      </c>
    </row>
    <row r="132" spans="2:24" s="54" customFormat="1" ht="15" customHeight="1" x14ac:dyDescent="0.25">
      <c r="B132" s="333" t="s">
        <v>341</v>
      </c>
      <c r="C132" s="292" t="s">
        <v>34</v>
      </c>
      <c r="N132" s="204"/>
      <c r="O132" s="435"/>
      <c r="P132" s="311">
        <f>(P78/P51-1)*100</f>
        <v>-3.3604844270784473</v>
      </c>
      <c r="Q132" s="311">
        <f t="shared" ref="Q132:X132" si="49">(Q78/Q51-1)*100</f>
        <v>-3.4910733542188876</v>
      </c>
      <c r="R132" s="311">
        <f t="shared" si="49"/>
        <v>-3.580110095306055</v>
      </c>
      <c r="S132" s="311">
        <f t="shared" si="49"/>
        <v>-3.7300861453291589</v>
      </c>
      <c r="T132" s="311">
        <f t="shared" si="49"/>
        <v>-3.913099703879519</v>
      </c>
      <c r="U132" s="311">
        <f t="shared" si="49"/>
        <v>-4.0370634371387109</v>
      </c>
      <c r="V132" s="311">
        <f t="shared" si="49"/>
        <v>-4.1539863698621726</v>
      </c>
      <c r="W132" s="311">
        <f t="shared" si="49"/>
        <v>-4.2502155696714228</v>
      </c>
      <c r="X132" s="26">
        <f t="shared" si="49"/>
        <v>-4.3321558562179563</v>
      </c>
    </row>
    <row r="133" spans="2:24" s="54" customFormat="1" ht="15" customHeight="1" x14ac:dyDescent="0.25">
      <c r="B133" s="333" t="s">
        <v>342</v>
      </c>
      <c r="C133" s="292" t="s">
        <v>34</v>
      </c>
      <c r="N133" s="204"/>
      <c r="O133" s="435"/>
      <c r="P133" s="311">
        <f>(P79/P52-1)*100</f>
        <v>9.287619000009073E-3</v>
      </c>
      <c r="Q133" s="311">
        <f t="shared" ref="Q133:X133" si="50">(Q79/Q52-1)*100</f>
        <v>1.848235989319047E-2</v>
      </c>
      <c r="R133" s="311">
        <f t="shared" si="50"/>
        <v>2.7721757236309763E-2</v>
      </c>
      <c r="S133" s="311">
        <f t="shared" si="50"/>
        <v>3.7122738631278906E-2</v>
      </c>
      <c r="T133" s="311">
        <f t="shared" si="50"/>
        <v>4.6774533312188282E-2</v>
      </c>
      <c r="U133" s="311">
        <f t="shared" si="50"/>
        <v>5.6541309540358853E-2</v>
      </c>
      <c r="V133" s="311">
        <f t="shared" si="50"/>
        <v>6.641745748818817E-2</v>
      </c>
      <c r="W133" s="311">
        <f t="shared" si="50"/>
        <v>7.6350288243087761E-2</v>
      </c>
      <c r="X133" s="26">
        <f t="shared" si="50"/>
        <v>8.6313407309779322E-2</v>
      </c>
    </row>
    <row r="134" spans="2:24" s="54" customFormat="1" ht="15" customHeight="1" x14ac:dyDescent="0.25">
      <c r="B134" s="333" t="s">
        <v>345</v>
      </c>
      <c r="C134" s="292" t="s">
        <v>34</v>
      </c>
      <c r="N134" s="204"/>
      <c r="O134" s="435"/>
      <c r="P134" s="311">
        <f>(P80/P53-1)*100</f>
        <v>-0.52758284408861433</v>
      </c>
      <c r="Q134" s="311">
        <f t="shared" ref="Q134:X134" si="51">(Q80/Q53-1)*100</f>
        <v>-0.53023915578399583</v>
      </c>
      <c r="R134" s="311">
        <f t="shared" si="51"/>
        <v>-0.53896569189278987</v>
      </c>
      <c r="S134" s="311">
        <f t="shared" si="51"/>
        <v>-0.55513601255943179</v>
      </c>
      <c r="T134" s="311">
        <f t="shared" si="51"/>
        <v>-0.58002407592909755</v>
      </c>
      <c r="U134" s="311">
        <f t="shared" si="51"/>
        <v>-0.59389586002689398</v>
      </c>
      <c r="V134" s="311">
        <f t="shared" si="51"/>
        <v>-0.6065811576445479</v>
      </c>
      <c r="W134" s="311">
        <f t="shared" si="51"/>
        <v>-0.61591555136312204</v>
      </c>
      <c r="X134" s="26">
        <f t="shared" si="51"/>
        <v>-0.62347607038411024</v>
      </c>
    </row>
    <row r="135" spans="2:24" s="54" customFormat="1" ht="15" customHeight="1" x14ac:dyDescent="0.25">
      <c r="B135" s="333" t="s">
        <v>344</v>
      </c>
      <c r="C135" s="292" t="s">
        <v>34</v>
      </c>
      <c r="N135" s="204"/>
      <c r="O135" s="435"/>
      <c r="P135" s="311">
        <f ca="1">(P81/P54-1)*100</f>
        <v>-2.6389144815786025E-3</v>
      </c>
      <c r="Q135" s="311">
        <f t="shared" ref="Q135:X135" ca="1" si="52">(Q81/Q54-1)*100</f>
        <v>-1.1258904715205631E-3</v>
      </c>
      <c r="R135" s="311">
        <f t="shared" ca="1" si="52"/>
        <v>-1.2263428329495341E-4</v>
      </c>
      <c r="S135" s="311">
        <f t="shared" ca="1" si="52"/>
        <v>5.2478368526287511E-4</v>
      </c>
      <c r="T135" s="311">
        <f t="shared" ca="1" si="52"/>
        <v>9.9682961607339138E-4</v>
      </c>
      <c r="U135" s="311">
        <f t="shared" ca="1" si="52"/>
        <v>1.2884430282911197E-3</v>
      </c>
      <c r="V135" s="311">
        <f t="shared" ca="1" si="52"/>
        <v>1.5284234235135585E-3</v>
      </c>
      <c r="W135" s="311">
        <f t="shared" ca="1" si="52"/>
        <v>1.6695704897484731E-3</v>
      </c>
      <c r="X135" s="26">
        <f t="shared" ca="1" si="52"/>
        <v>1.7761119029957584E-3</v>
      </c>
    </row>
    <row r="136" spans="2:24" s="54" customFormat="1" ht="15" customHeight="1" x14ac:dyDescent="0.25">
      <c r="B136" s="333" t="s">
        <v>362</v>
      </c>
      <c r="C136" s="292" t="s">
        <v>34</v>
      </c>
      <c r="N136" s="204"/>
      <c r="O136" s="435"/>
      <c r="P136" s="311">
        <f t="shared" ref="P136:X136" ca="1" si="53">(P82/P55-1)*100</f>
        <v>-1.591263626438133E-2</v>
      </c>
      <c r="Q136" s="311">
        <f t="shared" ca="1" si="53"/>
        <v>-1.2405690309336137E-2</v>
      </c>
      <c r="R136" s="311">
        <f t="shared" ca="1" si="53"/>
        <v>-1.0172996937485301E-2</v>
      </c>
      <c r="S136" s="311">
        <f t="shared" ca="1" si="53"/>
        <v>-8.6843560065719139E-3</v>
      </c>
      <c r="T136" s="311">
        <f t="shared" ca="1" si="53"/>
        <v>-6.7675571738590179E-3</v>
      </c>
      <c r="U136" s="311">
        <f t="shared" ca="1" si="53"/>
        <v>-6.1820754098773634E-3</v>
      </c>
      <c r="V136" s="311">
        <f t="shared" ca="1" si="53"/>
        <v>-6.5078608968871521E-3</v>
      </c>
      <c r="W136" s="311">
        <f t="shared" ca="1" si="53"/>
        <v>-6.5078219033010143E-3</v>
      </c>
      <c r="X136" s="26">
        <f t="shared" ca="1" si="53"/>
        <v>-6.4846473932900217E-3</v>
      </c>
    </row>
    <row r="137" spans="2:24" s="54" customFormat="1" ht="15" customHeight="1" x14ac:dyDescent="0.25">
      <c r="B137" s="429" t="s">
        <v>347</v>
      </c>
      <c r="C137" s="430" t="s">
        <v>34</v>
      </c>
      <c r="D137" s="242"/>
      <c r="E137" s="242"/>
      <c r="F137" s="242"/>
      <c r="G137" s="242"/>
      <c r="H137" s="242"/>
      <c r="I137" s="242"/>
      <c r="J137" s="242"/>
      <c r="K137" s="242"/>
      <c r="L137" s="242"/>
      <c r="M137" s="242"/>
      <c r="N137" s="425"/>
      <c r="O137" s="440"/>
      <c r="P137" s="426">
        <f t="shared" ref="P137:X137" ca="1" si="54">(P83/P56-1)*100</f>
        <v>-4.3099206261221212E-3</v>
      </c>
      <c r="Q137" s="426">
        <f t="shared" ca="1" si="54"/>
        <v>-2.6383943000474197E-3</v>
      </c>
      <c r="R137" s="426">
        <f t="shared" ca="1" si="54"/>
        <v>-1.5438828432468021E-3</v>
      </c>
      <c r="S137" s="426">
        <f t="shared" ca="1" si="54"/>
        <v>-8.4110944766901952E-4</v>
      </c>
      <c r="T137" s="426">
        <f t="shared" ca="1" si="54"/>
        <v>-2.9430253901674419E-4</v>
      </c>
      <c r="U137" s="426">
        <f t="shared" ca="1" si="54"/>
        <v>1.8155927783425341E-5</v>
      </c>
      <c r="V137" s="426">
        <f t="shared" ca="1" si="54"/>
        <v>2.3281448995327025E-4</v>
      </c>
      <c r="W137" s="426">
        <f t="shared" ca="1" si="54"/>
        <v>3.7913519532750684E-4</v>
      </c>
      <c r="X137" s="428">
        <f t="shared" ca="1" si="54"/>
        <v>4.9619927349198178E-4</v>
      </c>
    </row>
    <row r="138" spans="2:24" s="7" customFormat="1" x14ac:dyDescent="0.25">
      <c r="B138" s="35" t="s">
        <v>551</v>
      </c>
      <c r="C138" s="35"/>
      <c r="P138" s="311">
        <f ca="1">P137</f>
        <v>-4.3099206261221212E-3</v>
      </c>
      <c r="Q138" s="311">
        <f ca="1">Q137-P137</f>
        <v>1.6715263260747015E-3</v>
      </c>
      <c r="R138" s="311">
        <f t="shared" ref="R138:X138" ca="1" si="55">R137-Q137</f>
        <v>1.0945114568006176E-3</v>
      </c>
      <c r="S138" s="311">
        <f t="shared" ca="1" si="55"/>
        <v>7.0277339557778262E-4</v>
      </c>
      <c r="T138" s="311">
        <f t="shared" ca="1" si="55"/>
        <v>5.4680690865227533E-4</v>
      </c>
      <c r="U138" s="311">
        <f t="shared" ca="1" si="55"/>
        <v>3.1245846680016953E-4</v>
      </c>
      <c r="V138" s="311">
        <f t="shared" ca="1" si="55"/>
        <v>2.1465856216984491E-4</v>
      </c>
      <c r="W138" s="311">
        <f t="shared" ca="1" si="55"/>
        <v>1.4632070537423658E-4</v>
      </c>
      <c r="X138" s="311">
        <f t="shared" ca="1" si="55"/>
        <v>1.1706407816447495E-4</v>
      </c>
    </row>
    <row r="139" spans="2:24" s="7" customFormat="1" x14ac:dyDescent="0.25">
      <c r="B139" s="35"/>
      <c r="C139" s="35"/>
      <c r="P139" s="35"/>
      <c r="Q139" s="35"/>
      <c r="R139" s="35"/>
      <c r="S139" s="35"/>
      <c r="T139" s="35"/>
      <c r="U139" s="35"/>
      <c r="V139" s="35"/>
      <c r="W139" s="35"/>
      <c r="X139" s="35"/>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d1778a28-9f50-4fb9-b03b-0a0fdc856c14" ContentTypeId="0x0101007D849AAC705D284CAC29C569DAF4C4C80204" PreviousValue="false"/>
</file>

<file path=customXml/item2.xml><?xml version="1.0" encoding="utf-8"?>
<ct:contentTypeSchema xmlns:ct="http://schemas.microsoft.com/office/2006/metadata/contentType" xmlns:ma="http://schemas.microsoft.com/office/2006/metadata/properties/metaAttributes" ct:_="" ma:_="" ma:contentTypeName="Committee Other Document" ma:contentTypeID="0x0101007D849AAC705D284CAC29C569DAF4C4C8020400E55A7C3845E99843BA8F9ACC4F4107D6" ma:contentTypeVersion="3" ma:contentTypeDescription="Create a new document." ma:contentTypeScope="" ma:versionID="6e5de2fdefad9a308434e0769b966778">
  <xsd:schema xmlns:xsd="http://www.w3.org/2001/XMLSchema" xmlns:xs="http://www.w3.org/2001/XMLSchema" xmlns:p="http://schemas.microsoft.com/office/2006/metadata/properties" xmlns:ns2="aa27ac04-4ef1-4ecc-89ce-3a0f50f0af2b" xmlns:ns3="63e34047-ac42-4036-9033-e057f6ab76f1" xmlns:ns4="9554dec5-fbee-4d57-a17f-db187b6871cb" targetNamespace="http://schemas.microsoft.com/office/2006/metadata/properties" ma:root="true" ma:fieldsID="0da3b3ced9aaa0018347fea0047cdbc7" ns2:_="" ns3:_="" ns4:_="">
    <xsd:import namespace="aa27ac04-4ef1-4ecc-89ce-3a0f50f0af2b"/>
    <xsd:import namespace="63e34047-ac42-4036-9033-e057f6ab76f1"/>
    <xsd:import namespace="9554dec5-fbee-4d57-a17f-db187b6871cb"/>
    <xsd:element name="properties">
      <xsd:complexType>
        <xsd:sequence>
          <xsd:element name="documentManagement">
            <xsd:complexType>
              <xsd:all>
                <xsd:element ref="ns2:Business_x005f_x0020_Identifier" minOccurs="0"/>
                <xsd:element ref="ns2:hb743b56a1bb4a7bbf45967e2ec127ee" minOccurs="0"/>
                <xsd:element ref="ns3:TaxCatchAll" minOccurs="0"/>
                <xsd:element ref="ns3:TaxCatchAllLabel" minOccurs="0"/>
                <xsd:element ref="ns2:c493c87c930244169e6ff1d6c4ab4cf4" minOccurs="0"/>
                <xsd:element ref="ns2:o7d32b35c0a845f4819751d48017ea9b" minOccurs="0"/>
                <xsd:element ref="ns2:Committee_x0020_Start_x0020_Date" minOccurs="0"/>
                <xsd:element ref="ns2:Committee_x0020_End_x0020_Date" minOccurs="0"/>
                <xsd:element ref="ns2:DocumentKey"/>
                <xsd:element ref="ns2:PublishStatus" minOccurs="0"/>
                <xsd:element ref="ns2:m4d6cca7aa3446fd807daefaacf1e9b0" minOccurs="0"/>
                <xsd:element ref="ns2:Committee_x0020_Inquiry_x0020_Start_x0020_Date" minOccurs="0"/>
                <xsd:element ref="ns2:Committee_x0020_Inquiry_x0020_End_x0020_Date" minOccurs="0"/>
                <xsd:element ref="ns4:MemberTaxHTField0" minOccurs="0"/>
                <xsd:element ref="ns2:Transcript_x005f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27ac04-4ef1-4ecc-89ce-3a0f50f0af2b" elementFormDefault="qualified">
    <xsd:import namespace="http://schemas.microsoft.com/office/2006/documentManagement/types"/>
    <xsd:import namespace="http://schemas.microsoft.com/office/infopath/2007/PartnerControls"/>
    <xsd:element name="Business_x005f_x0020_Identifier" ma:index="8" nillable="true" ma:displayName="Business Identifier" ma:indexed="true" ma:internalName="Business_x0020_Identifier" ma:readOnly="false">
      <xsd:simpleType>
        <xsd:restriction base="dms:Text"/>
      </xsd:simpleType>
    </xsd:element>
    <xsd:element name="hb743b56a1bb4a7bbf45967e2ec127ee" ma:index="9" nillable="true" ma:taxonomy="true" ma:internalName="hb743b56a1bb4a7bbf45967e2ec127ee" ma:taxonomyFieldName="House" ma:displayName="House" ma:indexed="true" ma:readOnly="false" ma:fieldId="{1b743b56-a1bb-4a7b-bf45-967e2ec127ee}" ma:sspId="d1778a28-9f50-4fb9-b03b-0a0fdc856c14" ma:termSetId="bf338593-1a97-4423-b962-025304010a2a" ma:anchorId="00000000-0000-0000-0000-000000000000" ma:open="false" ma:isKeyword="false">
      <xsd:complexType>
        <xsd:sequence>
          <xsd:element ref="pc:Terms" minOccurs="0" maxOccurs="1"/>
        </xsd:sequence>
      </xsd:complexType>
    </xsd:element>
    <xsd:element name="c493c87c930244169e6ff1d6c4ab4cf4" ma:index="13" nillable="true" ma:taxonomy="true" ma:internalName="c493c87c930244169e6ff1d6c4ab4cf4" ma:taxonomyFieldName="Committee" ma:displayName="Committee" ma:indexed="true" ma:fieldId="{c493c87c-9302-4416-9e6f-f1d6c4ab4cf4}" ma:sspId="d1778a28-9f50-4fb9-b03b-0a0fdc856c14" ma:termSetId="f7fd4eea-aa45-411a-80ce-81f834bc64a5" ma:anchorId="00000000-0000-0000-0000-000000000000" ma:open="false" ma:isKeyword="false">
      <xsd:complexType>
        <xsd:sequence>
          <xsd:element ref="pc:Terms" minOccurs="0" maxOccurs="1"/>
        </xsd:sequence>
      </xsd:complexType>
    </xsd:element>
    <xsd:element name="o7d32b35c0a845f4819751d48017ea9b" ma:index="15" nillable="true" ma:taxonomy="true" ma:internalName="o7d32b35c0a845f4819751d48017ea9b" ma:taxonomyFieldName="Committee_x0020_Type" ma:displayName="Committee Type" ma:indexed="true" ma:fieldId="{87d32b35-c0a8-45f4-8197-51d48017ea9b}" ma:sspId="d1778a28-9f50-4fb9-b03b-0a0fdc856c14" ma:termSetId="82af6f6e-4144-4e0c-a81e-cd5e4e71af07" ma:anchorId="00000000-0000-0000-0000-000000000000" ma:open="false" ma:isKeyword="false">
      <xsd:complexType>
        <xsd:sequence>
          <xsd:element ref="pc:Terms" minOccurs="0" maxOccurs="1"/>
        </xsd:sequence>
      </xsd:complexType>
    </xsd:element>
    <xsd:element name="Committee_x0020_Start_x0020_Date" ma:index="17" nillable="true" ma:displayName="Committee Start Date" ma:format="DateOnly" ma:indexed="true" ma:internalName="Committee_x0020_Start_x0020_Date">
      <xsd:simpleType>
        <xsd:restriction base="dms:DateTime"/>
      </xsd:simpleType>
    </xsd:element>
    <xsd:element name="Committee_x0020_End_x0020_Date" ma:index="18" nillable="true" ma:displayName="Committee End Date" ma:format="DateOnly" ma:indexed="true" ma:internalName="Committee_x0020_End_x0020_Date">
      <xsd:simpleType>
        <xsd:restriction base="dms:DateTime"/>
      </xsd:simpleType>
    </xsd:element>
    <xsd:element name="DocumentKey" ma:index="19" ma:displayName="Document Key" ma:indexed="true" ma:internalName="DocumentKey">
      <xsd:simpleType>
        <xsd:restriction base="dms:Choice">
          <xsd:enumeration value="bill-text"/>
          <xsd:enumeration value="explanatory-notes"/>
          <xsd:enumeration value="bill-text-attachments"/>
          <xsd:enumeration value="amendments-la"/>
          <xsd:enumeration value="amendments-lc"/>
          <xsd:enumeration value="considered-amendments-la"/>
          <xsd:enumeration value="considered-amendments-lc"/>
          <xsd:enumeration value="second-reading-speech-la"/>
          <xsd:enumeration value="second-reading-speech-lc"/>
          <xsd:enumeration value="thumbnail"/>
          <xsd:enumeration value="photo"/>
          <xsd:enumeration value="attachment"/>
          <xsd:enumeration value="inaugural-speech"/>
          <xsd:enumeration value="digests"/>
          <xsd:enumeration value="minute-extracts"/>
          <xsd:enumeration value="introductory-document"/>
          <xsd:enumeration value="resolution-document"/>
          <xsd:enumeration value="terms-of-reference"/>
          <xsd:enumeration value="submissions"/>
          <xsd:enumeration value="transcripts"/>
          <xsd:enumeration value="schedule"/>
          <xsd:enumeration value="witness-transcripts"/>
          <xsd:enumeration value="reports-and-gov-responses"/>
          <xsd:enumeration value="other-documents"/>
          <xsd:enumeration value="attachments"/>
          <xsd:enumeration value="tabled-document"/>
          <xsd:enumeration value="not-tabled-document-la"/>
          <xsd:enumeration value="not-tabled-document-lc"/>
          <xsd:enumeration value="not-tabled-document-dispute"/>
          <xsd:enumeration value="petition-response"/>
          <xsd:enumeration value="proof"/>
          <xsd:enumeration value="revised"/>
          <xsd:enumeration value="corrected"/>
          <xsd:enumeration value="question"/>
          <xsd:enumeration value="answer"/>
          <xsd:enumeration value="document"/>
          <xsd:enumeration value="item"/>
        </xsd:restriction>
      </xsd:simpleType>
    </xsd:element>
    <xsd:element name="PublishStatus" ma:index="20" nillable="true" ma:displayName="Publish Status" ma:internalName="PublishStatus" ma:readOnly="false">
      <xsd:simpleType>
        <xsd:restriction base="dms:Choice">
          <xsd:enumeration value="Draft"/>
          <xsd:enumeration value="Published"/>
        </xsd:restriction>
      </xsd:simpleType>
    </xsd:element>
    <xsd:element name="m4d6cca7aa3446fd807daefaacf1e9b0" ma:index="21" nillable="true" ma:taxonomy="true" ma:internalName="m4d6cca7aa3446fd807daefaacf1e9b0" ma:taxonomyFieldName="Committee_x0020_Inquiry" ma:displayName="Committee Inquiry" ma:indexed="true" ma:fieldId="{64d6cca7-aa34-46fd-807d-aefaacf1e9b0}" ma:sspId="d1778a28-9f50-4fb9-b03b-0a0fdc856c14" ma:termSetId="6c3e97b6-6187-4878-9856-e93b8fed0e9f" ma:anchorId="00000000-0000-0000-0000-000000000000" ma:open="false" ma:isKeyword="false">
      <xsd:complexType>
        <xsd:sequence>
          <xsd:element ref="pc:Terms" minOccurs="0" maxOccurs="1"/>
        </xsd:sequence>
      </xsd:complexType>
    </xsd:element>
    <xsd:element name="Committee_x0020_Inquiry_x0020_Start_x0020_Date" ma:index="23" nillable="true" ma:displayName="Committee Inquiry Start Date" ma:format="DateOnly" ma:indexed="true" ma:internalName="Committee_x0020_Inquiry_x0020_Start_x0020_Date">
      <xsd:simpleType>
        <xsd:restriction base="dms:DateTime"/>
      </xsd:simpleType>
    </xsd:element>
    <xsd:element name="Committee_x0020_Inquiry_x0020_End_x0020_Date" ma:index="24" nillable="true" ma:displayName="Committee Inquiry End Date" ma:format="DateOnly" ma:indexed="true" ma:internalName="Committee_x0020_Inquiry_x0020_End_x0020_Date">
      <xsd:simpleType>
        <xsd:restriction base="dms:DateTime"/>
      </xsd:simpleType>
    </xsd:element>
    <xsd:element name="Transcript_x005f_x0020_Name" ma:index="27" nillable="true" ma:displayName="Transcript Name" ma:internalName="Transcript_x0020_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e34047-ac42-4036-9033-e057f6ab76f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0fad1c7-037d-44ef-980b-97e4c24d094e}" ma:internalName="TaxCatchAll" ma:showField="CatchAllData" ma:web="9554dec5-fbee-4d57-a17f-db187b6871cb">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60fad1c7-037d-44ef-980b-97e4c24d094e}" ma:internalName="TaxCatchAllLabel" ma:readOnly="true" ma:showField="CatchAllDataLabel" ma:web="9554dec5-fbee-4d57-a17f-db187b6871c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554dec5-fbee-4d57-a17f-db187b6871cb" elementFormDefault="qualified">
    <xsd:import namespace="http://schemas.microsoft.com/office/2006/documentManagement/types"/>
    <xsd:import namespace="http://schemas.microsoft.com/office/infopath/2007/PartnerControls"/>
    <xsd:element name="MemberTaxHTField0" ma:index="25" nillable="true" ma:taxonomy="true" ma:internalName="MemberTaxHTField0" ma:taxonomyFieldName="Hansard_x0020_Member" ma:displayName="Member" ma:default="" ma:fieldId="{c9fb69e6-177b-49ec-8627-96a823362ebd}" ma:taxonomyMulti="true" ma:sspId="d1778a28-9f50-4fb9-b03b-0a0fdc856c14" ma:termSetId="8a64e69d-52d2-4a7e-943b-4f5c8cba8b1a"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63e34047-ac42-4036-9033-e057f6ab76f1">
      <Value>186</Value>
      <Value>223</Value>
      <Value>174</Value>
      <Value>224</Value>
      <Value>363</Value>
      <Value>39</Value>
      <Value>6</Value>
      <Value>173</Value>
      <Value>155</Value>
      <Value>1</Value>
    </TaxCatchAll>
    <MemberTaxHTField0 xmlns="9554dec5-fbee-4d57-a17f-db187b6871cb">
      <Terms xmlns="http://schemas.microsoft.com/office/infopath/2007/PartnerControls">
        <TermInfo xmlns="http://schemas.microsoft.com/office/infopath/2007/PartnerControls">
          <TermName xmlns="http://schemas.microsoft.com/office/infopath/2007/PartnerControls">PAVEY, Melinda Jane M.J</TermName>
          <TermId xmlns="http://schemas.microsoft.com/office/infopath/2007/PartnerControls">6898a1ec-6ad8-4474-9e1d-d214b71ac66e</TermId>
        </TermInfo>
        <TermInfo xmlns="http://schemas.microsoft.com/office/infopath/2007/PartnerControls">
          <TermName xmlns="http://schemas.microsoft.com/office/infopath/2007/PartnerControls">VOLTZ, Lynda Jane L.</TermName>
          <TermId xmlns="http://schemas.microsoft.com/office/infopath/2007/PartnerControls">3707b96d-bc57-4149-99d0-4da99c84adc5</TermId>
        </TermInfo>
        <TermInfo xmlns="http://schemas.microsoft.com/office/infopath/2007/PartnerControls">
          <TermName xmlns="http://schemas.microsoft.com/office/infopath/2007/PartnerControls">VOLTZ, Lynda L.</TermName>
          <TermId xmlns="http://schemas.microsoft.com/office/infopath/2007/PartnerControls">ac85e739-b8d9-4d91-963a-48a58c7a4ef3</TermId>
        </TermInfo>
        <TermInfo xmlns="http://schemas.microsoft.com/office/infopath/2007/PartnerControls">
          <TermName xmlns="http://schemas.microsoft.com/office/infopath/2007/PartnerControls">KHAN, Trevor John T.</TermName>
          <TermId xmlns="http://schemas.microsoft.com/office/infopath/2007/PartnerControls">6eca84be-b0ec-40e5-8cdd-fea911c049bb</TermId>
        </TermInfo>
        <TermInfo xmlns="http://schemas.microsoft.com/office/infopath/2007/PartnerControls">
          <TermName xmlns="http://schemas.microsoft.com/office/infopath/2007/PartnerControls">WHAN, Steve S.J.R.</TermName>
          <TermId xmlns="http://schemas.microsoft.com/office/infopath/2007/PartnerControls">6e0dbc40-ef6c-46df-ab6f-47389d5451a0</TermId>
        </TermInfo>
        <TermInfo xmlns="http://schemas.microsoft.com/office/infopath/2007/PartnerControls">
          <TermName xmlns="http://schemas.microsoft.com/office/infopath/2007/PartnerControls">WHAN, Steven James Robert S.J.R.</TermName>
          <TermId xmlns="http://schemas.microsoft.com/office/infopath/2007/PartnerControls">64779375-a24e-4bda-a335-be260f0ae244</TermId>
        </TermInfo>
      </Terms>
    </MemberTaxHTField0>
    <Transcript_x005f_x0020_Name xmlns="aa27ac04-4ef1-4ecc-89ce-3a0f50f0af2b">Economic Effects of fiscal support for the NSW greyhound racing industry - modelling results</Transcript_x005f_x0020_Name>
    <Business_x005f_x0020_Identifier xmlns="aa27ac04-4ef1-4ecc-89ce-3a0f50f0af2b">9615</Business_x005f_x0020_Identifier>
    <PublishStatus xmlns="aa27ac04-4ef1-4ecc-89ce-3a0f50f0af2b">Published</PublishStatus>
    <Committee_x0020_Inquiry_x0020_Start_x0020_Date xmlns="aa27ac04-4ef1-4ecc-89ce-3a0f50f0af2b">2013-08-26T14:00:00+00:00</Committee_x0020_Inquiry_x0020_Start_x0020_Date>
    <m4d6cca7aa3446fd807daefaacf1e9b0 xmlns="aa27ac04-4ef1-4ecc-89ce-3a0f50f0af2b">
      <Terms xmlns="http://schemas.microsoft.com/office/infopath/2007/PartnerControls">
        <TermInfo xmlns="http://schemas.microsoft.com/office/infopath/2007/PartnerControls">
          <TermName xmlns="http://schemas.microsoft.com/office/infopath/2007/PartnerControls">Greyhound racing in NSW</TermName>
          <TermId xmlns="http://schemas.microsoft.com/office/infopath/2007/PartnerControls">2340f84c-efed-4560-94c5-59c09df6eeaa</TermId>
        </TermInfo>
      </Terms>
    </m4d6cca7aa3446fd807daefaacf1e9b0>
    <DocumentKey xmlns="aa27ac04-4ef1-4ecc-89ce-3a0f50f0af2b">other-documents</DocumentKey>
    <c493c87c930244169e6ff1d6c4ab4cf4 xmlns="aa27ac04-4ef1-4ecc-89ce-3a0f50f0af2b">
      <Terms xmlns="http://schemas.microsoft.com/office/infopath/2007/PartnerControls">
        <TermInfo xmlns="http://schemas.microsoft.com/office/infopath/2007/PartnerControls">
          <TermName xmlns="http://schemas.microsoft.com/office/infopath/2007/PartnerControls">Select Committee on Greyhound Racing in New South Wales</TermName>
          <TermId xmlns="http://schemas.microsoft.com/office/infopath/2007/PartnerControls">fa57f976-793c-4e8d-94eb-b84107e2baf0</TermId>
        </TermInfo>
      </Terms>
    </c493c87c930244169e6ff1d6c4ab4cf4>
    <o7d32b35c0a845f4819751d48017ea9b xmlns="aa27ac04-4ef1-4ecc-89ce-3a0f50f0af2b">
      <Terms xmlns="http://schemas.microsoft.com/office/infopath/2007/PartnerControls">
        <TermInfo xmlns="http://schemas.microsoft.com/office/infopath/2007/PartnerControls">
          <TermName xmlns="http://schemas.microsoft.com/office/infopath/2007/PartnerControls">Select</TermName>
          <TermId xmlns="http://schemas.microsoft.com/office/infopath/2007/PartnerControls">d980e62b-1108-43a2-b0ae-a64423ac0afb</TermId>
        </TermInfo>
      </Terms>
    </o7d32b35c0a845f4819751d48017ea9b>
    <Committee_x0020_Inquiry_x0020_End_x0020_Date xmlns="aa27ac04-4ef1-4ecc-89ce-3a0f50f0af2b">2014-10-15T13:00:00+00:00</Committee_x0020_Inquiry_x0020_End_x0020_Date>
    <Committee_x0020_Start_x0020_Date xmlns="aa27ac04-4ef1-4ecc-89ce-3a0f50f0af2b">2013-08-26T14:00:00+00:00</Committee_x0020_Start_x0020_Date>
    <hb743b56a1bb4a7bbf45967e2ec127ee xmlns="aa27ac04-4ef1-4ecc-89ce-3a0f50f0af2b">
      <Terms xmlns="http://schemas.microsoft.com/office/infopath/2007/PartnerControls">
        <TermInfo xmlns="http://schemas.microsoft.com/office/infopath/2007/PartnerControls">
          <TermName xmlns="http://schemas.microsoft.com/office/infopath/2007/PartnerControls">Legislative Council</TermName>
          <TermId xmlns="http://schemas.microsoft.com/office/infopath/2007/PartnerControls">054bcde6-b42d-448a-83cc-81cedc571a99</TermId>
        </TermInfo>
      </Terms>
    </hb743b56a1bb4a7bbf45967e2ec127ee>
    <Committee_x0020_End_x0020_Date xmlns="aa27ac04-4ef1-4ecc-89ce-3a0f50f0af2b">2014-10-15T13:00:00+00:00</Committee_x0020_End_x0020_Date>
  </documentManagement>
</p:properties>
</file>

<file path=customXml/itemProps1.xml><?xml version="1.0" encoding="utf-8"?>
<ds:datastoreItem xmlns:ds="http://schemas.openxmlformats.org/officeDocument/2006/customXml" ds:itemID="{9520C196-C9D6-4B2F-BE96-9ED371E42E11}"/>
</file>

<file path=customXml/itemProps2.xml><?xml version="1.0" encoding="utf-8"?>
<ds:datastoreItem xmlns:ds="http://schemas.openxmlformats.org/officeDocument/2006/customXml" ds:itemID="{728E8B3E-DF60-4D7D-8AE3-3A7865012BD6}"/>
</file>

<file path=customXml/itemProps3.xml><?xml version="1.0" encoding="utf-8"?>
<ds:datastoreItem xmlns:ds="http://schemas.openxmlformats.org/officeDocument/2006/customXml" ds:itemID="{20B0773F-3CA6-4224-9590-EB1E557E3B51}"/>
</file>

<file path=customXml/itemProps4.xml><?xml version="1.0" encoding="utf-8"?>
<ds:datastoreItem xmlns:ds="http://schemas.openxmlformats.org/officeDocument/2006/customXml" ds:itemID="{04E6E03D-C12A-4516-908B-0F40995D7F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Cover</vt:lpstr>
      <vt:lpstr>Index</vt:lpstr>
      <vt:lpstr>1.Disclaimer</vt:lpstr>
      <vt:lpstr>2.Scenarios</vt:lpstr>
      <vt:lpstr>3.Summary</vt:lpstr>
      <vt:lpstr>4.Turnover</vt:lpstr>
      <vt:lpstr>5.ScenarioB</vt:lpstr>
      <vt:lpstr>6.ScenarioC</vt:lpstr>
      <vt:lpstr>7.ScenarioD</vt:lpstr>
      <vt:lpstr>8.ScenarioE</vt:lpstr>
      <vt:lpstr>9. Figures</vt:lpstr>
      <vt:lpstr>Appendix A Definition</vt:lpstr>
      <vt:lpstr>Appendix B State Taxes</vt:lpstr>
      <vt:lpstr>Appendix C Industry details</vt:lpstr>
      <vt:lpstr>Appendix D Background</vt:lpstr>
    </vt:vector>
  </TitlesOfParts>
  <Company>PricewaterhouseCoopers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output of DRAFT results </dc:title>
  <dc:creator>Jyothi Gali</dc:creator>
  <cp:lastModifiedBy>Jyothi Gali</cp:lastModifiedBy>
  <dcterms:created xsi:type="dcterms:W3CDTF">2013-11-20T01:05:07Z</dcterms:created>
  <dcterms:modified xsi:type="dcterms:W3CDTF">2014-09-25T00:40:24Z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0x0101007D849AAC705D284CAC29C569DAF4C4C8020400E55A7C3845E99843BA8F9ACC4F4107D6</vt:lpwstr>
  </property>
  <property fmtid="{D5CDD505-2E9C-101B-9397-08002B2CF9AE}" pid="3" name="Hansard Member">
    <vt:lpwstr>186;#PAVEY, Melinda Jane M.J|6898a1ec-6ad8-4474-9e1d-d214b71ac66e;#173;#VOLTZ, Lynda Jane L.|3707b96d-bc57-4149-99d0-4da99c84adc5;#174;#VOLTZ, Lynda L.|ac85e739-b8d9-4d91-963a-48a58c7a4ef3;#155;#KHAN, Trevor John T.|6eca84be-b0ec-40e5-8cdd-fea911c049bb;#223;#WHAN, Steve S.J.R.|6e0dbc40-ef6c-46df-ab6f-47389d5451a0;#224;#WHAN, Steven James Robert S.J.R.|64779375-a24e-4bda-a335-be260f0ae244</vt:lpwstr>
  </property>
  <property fmtid="{D5CDD505-2E9C-101B-9397-08002B2CF9AE}" pid="4" name="Committee Type">
    <vt:lpwstr>6;#Select|d980e62b-1108-43a2-b0ae-a64423ac0afb</vt:lpwstr>
  </property>
  <property fmtid="{D5CDD505-2E9C-101B-9397-08002B2CF9AE}" pid="5" name="House">
    <vt:lpwstr>1;#Legislative Council|054bcde6-b42d-448a-83cc-81cedc571a99</vt:lpwstr>
  </property>
  <property fmtid="{D5CDD505-2E9C-101B-9397-08002B2CF9AE}" pid="6" name="Committee">
    <vt:lpwstr>39;#Select Committee on Greyhound Racing in New South Wales|fa57f976-793c-4e8d-94eb-b84107e2baf0</vt:lpwstr>
  </property>
  <property fmtid="{D5CDD505-2E9C-101B-9397-08002B2CF9AE}" pid="7" name="Committee Inquiry">
    <vt:lpwstr>363;#Greyhound racing in NSW|2340f84c-efed-4560-94c5-59c09df6eeaa</vt:lpwstr>
  </property>
</Properties>
</file>